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emily\Dropbox\DDCF - LULUCF\Drafts\Final report\"/>
    </mc:Choice>
  </mc:AlternateContent>
  <bookViews>
    <workbookView xWindow="14240" yWindow="3400" windowWidth="23920" windowHeight="13380" tabRatio="897"/>
  </bookViews>
  <sheets>
    <sheet name="Title Sheet" sheetId="26" r:id="rId1"/>
    <sheet name="T-2 Forest biomass and deadwood" sheetId="25" r:id="rId2"/>
    <sheet name="Forest litter" sheetId="23" r:id="rId3"/>
    <sheet name="Forest soil" sheetId="24" r:id="rId4"/>
    <sheet name="T-9 Non-CO2 forest fires" sheetId="3" r:id="rId5"/>
    <sheet name="T-10 HWPs" sheetId="22" r:id="rId6"/>
    <sheet name="T-11 N to Forest Soils" sheetId="13" r:id="rId7"/>
    <sheet name="T-12 Drained Organic Forest" sheetId="12" r:id="rId8"/>
    <sheet name="T-14 15 Tier 3 Soils" sheetId="17" r:id="rId9"/>
    <sheet name="T-19 C-G Tier 1-2" sheetId="5" r:id="rId10"/>
    <sheet name="T-21 Grassland fires" sheetId="4" r:id="rId11"/>
    <sheet name="T-22 C-G Drained Organic" sheetId="14" r:id="rId12"/>
    <sheet name="T-25 Agroforestry" sheetId="7" r:id="rId13"/>
    <sheet name="T-27 Non-CO2 woody biomass" sheetId="18" r:id="rId14"/>
    <sheet name="Federal Lands" sheetId="8" r:id="rId15"/>
    <sheet name="T-28 Methane Sinks" sheetId="6" r:id="rId16"/>
    <sheet name="T-31 Urban Trees" sheetId="10" r:id="rId17"/>
    <sheet name="T-34 YT &amp; FS" sheetId="11" r:id="rId18"/>
    <sheet name="T-35 N Settlement Soils" sheetId="15" r:id="rId19"/>
    <sheet name="T-36 Drained Organic Set" sheetId="16" r:id="rId20"/>
    <sheet name="Urban Mineral Soils" sheetId="9" r:id="rId21"/>
    <sheet name="T-39 Coastal wetlands" sheetId="19" r:id="rId22"/>
    <sheet name="T-42 Alaska" sheetId="20" r:id="rId23"/>
    <sheet name="T-43 Hawaii" sheetId="21" r:id="rId24"/>
  </sheets>
  <externalReferences>
    <externalReference r:id="rId25"/>
  </externalReferenc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15" l="1"/>
  <c r="H5" i="15"/>
  <c r="F17" i="11"/>
  <c r="F18" i="11"/>
  <c r="F19" i="11"/>
  <c r="F20" i="11"/>
  <c r="F21" i="11"/>
  <c r="F22" i="11"/>
  <c r="F16" i="11"/>
  <c r="D17" i="11"/>
  <c r="D18" i="11"/>
  <c r="D19" i="11"/>
  <c r="D20" i="11"/>
  <c r="D21" i="11"/>
  <c r="D22" i="11"/>
  <c r="D16" i="11"/>
  <c r="C23" i="11"/>
  <c r="C17" i="11"/>
  <c r="C18" i="11"/>
  <c r="C19" i="11"/>
  <c r="C20" i="11"/>
  <c r="C21" i="11"/>
  <c r="C22" i="11"/>
  <c r="C16" i="11"/>
  <c r="B15" i="11"/>
  <c r="M5" i="11"/>
  <c r="M6" i="11"/>
  <c r="M7" i="11"/>
  <c r="M8" i="11"/>
  <c r="M9" i="11"/>
  <c r="M10" i="11"/>
  <c r="M11" i="11"/>
  <c r="M4" i="11"/>
  <c r="F5" i="11"/>
  <c r="F6" i="11"/>
  <c r="F7" i="11"/>
  <c r="F8" i="11"/>
  <c r="F9" i="11"/>
  <c r="F10" i="11"/>
  <c r="F11" i="11"/>
  <c r="F4" i="11"/>
  <c r="E5" i="11"/>
  <c r="E6" i="11"/>
  <c r="E7" i="11"/>
  <c r="E8" i="11"/>
  <c r="E9" i="11"/>
  <c r="E10" i="11"/>
  <c r="E11" i="11"/>
  <c r="E4" i="11"/>
  <c r="C35" i="17"/>
  <c r="D20" i="3"/>
  <c r="D18" i="25"/>
  <c r="D19" i="25"/>
  <c r="D20" i="25"/>
  <c r="D21" i="25"/>
  <c r="D22" i="25"/>
  <c r="D23" i="25"/>
  <c r="D24" i="25"/>
  <c r="D25" i="25"/>
  <c r="D17" i="25"/>
  <c r="C26" i="25"/>
  <c r="B8" i="25" l="1"/>
  <c r="B55" i="25" s="1"/>
  <c r="B33" i="25"/>
  <c r="C33" i="25" s="1"/>
  <c r="B66" i="25" s="1"/>
  <c r="B34" i="25"/>
  <c r="C34" i="25" s="1"/>
  <c r="B67" i="25" s="1"/>
  <c r="B35" i="25"/>
  <c r="C35" i="25"/>
  <c r="B68" i="25" s="1"/>
  <c r="B36" i="25"/>
  <c r="C36" i="25" s="1"/>
  <c r="B69" i="25" s="1"/>
  <c r="C69" i="25" s="1"/>
  <c r="B37" i="25"/>
  <c r="C37" i="25" s="1"/>
  <c r="B70" i="25" s="1"/>
  <c r="B38" i="25"/>
  <c r="C38" i="25" s="1"/>
  <c r="B71" i="25" s="1"/>
  <c r="B39" i="25"/>
  <c r="C39" i="25"/>
  <c r="B72" i="25" s="1"/>
  <c r="B40" i="25"/>
  <c r="C40" i="25" s="1"/>
  <c r="B73" i="25" s="1"/>
  <c r="B41" i="25"/>
  <c r="C41" i="25" s="1"/>
  <c r="B74" i="25" s="1"/>
  <c r="B32" i="25"/>
  <c r="H8" i="14"/>
  <c r="G7" i="14"/>
  <c r="H7" i="14" s="1"/>
  <c r="G8" i="14"/>
  <c r="G5" i="14"/>
  <c r="H5" i="14" s="1"/>
  <c r="C28" i="17"/>
  <c r="C29" i="17"/>
  <c r="C30" i="17"/>
  <c r="D16" i="17"/>
  <c r="G3" i="17"/>
  <c r="C26" i="17" s="1"/>
  <c r="B9" i="12"/>
  <c r="H5" i="13"/>
  <c r="H7" i="13" s="1"/>
  <c r="G7" i="13" s="1"/>
  <c r="F7" i="13" s="1"/>
  <c r="F6" i="13"/>
  <c r="E6" i="13"/>
  <c r="G6" i="13" s="1"/>
  <c r="H6" i="13" s="1"/>
  <c r="G5" i="13"/>
  <c r="F5" i="13"/>
  <c r="E5" i="13"/>
  <c r="B7" i="13"/>
  <c r="D7" i="13" s="1"/>
  <c r="J4" i="11"/>
  <c r="I4" i="11"/>
  <c r="J5" i="11"/>
  <c r="I5" i="11"/>
  <c r="B16" i="11"/>
  <c r="J6" i="11"/>
  <c r="B17" i="11" s="1"/>
  <c r="I6" i="11"/>
  <c r="J7" i="11"/>
  <c r="I7" i="11"/>
  <c r="B18" i="11"/>
  <c r="J8" i="11"/>
  <c r="B19" i="11" s="1"/>
  <c r="I8" i="11"/>
  <c r="J9" i="11"/>
  <c r="B20" i="11" s="1"/>
  <c r="I9" i="11"/>
  <c r="J10" i="11"/>
  <c r="B21" i="11" s="1"/>
  <c r="I10" i="11"/>
  <c r="J11" i="11"/>
  <c r="B22" i="11" s="1"/>
  <c r="I11" i="11"/>
  <c r="B25" i="20"/>
  <c r="B16" i="20"/>
  <c r="B17" i="20"/>
  <c r="B20" i="20"/>
  <c r="B18" i="20"/>
  <c r="B19" i="20" s="1"/>
  <c r="B21" i="20" s="1"/>
  <c r="B32" i="20"/>
  <c r="B33" i="20"/>
  <c r="B29" i="20"/>
  <c r="B39" i="20" s="1"/>
  <c r="B38" i="20"/>
  <c r="B40" i="20" s="1"/>
  <c r="B37" i="20"/>
  <c r="B41" i="20"/>
  <c r="B46" i="20"/>
  <c r="B47" i="20" s="1"/>
  <c r="B48" i="20" s="1"/>
  <c r="B49" i="20" s="1"/>
  <c r="B44" i="20"/>
  <c r="B55" i="20"/>
  <c r="E5" i="20"/>
  <c r="G5" i="20"/>
  <c r="K5" i="20" s="1"/>
  <c r="B54" i="20"/>
  <c r="K7" i="20"/>
  <c r="C55" i="20"/>
  <c r="D55" i="20"/>
  <c r="E55" i="20"/>
  <c r="E54" i="20"/>
  <c r="E56" i="20" s="1"/>
  <c r="E57" i="20" s="1"/>
  <c r="E61" i="20" s="1"/>
  <c r="F55" i="20"/>
  <c r="G55" i="20"/>
  <c r="H55" i="20"/>
  <c r="I55" i="20"/>
  <c r="K55" i="20" s="1"/>
  <c r="J55" i="20"/>
  <c r="E9" i="20"/>
  <c r="B69" i="20" s="1"/>
  <c r="B71" i="20" s="1"/>
  <c r="B73" i="20"/>
  <c r="B76" i="20" s="1"/>
  <c r="B75" i="20"/>
  <c r="B81" i="20"/>
  <c r="B82" i="20" s="1"/>
  <c r="C35" i="21"/>
  <c r="B42" i="21" s="1"/>
  <c r="C36" i="21"/>
  <c r="C42" i="21" s="1"/>
  <c r="C37" i="21"/>
  <c r="D42" i="21" s="1"/>
  <c r="C28" i="21"/>
  <c r="C29" i="21"/>
  <c r="C30" i="21"/>
  <c r="C31" i="21"/>
  <c r="C6" i="21"/>
  <c r="B23" i="21" s="1"/>
  <c r="C7" i="21"/>
  <c r="B14" i="21"/>
  <c r="B15" i="21" s="1"/>
  <c r="B18" i="21" s="1"/>
  <c r="B16" i="21"/>
  <c r="B17" i="21"/>
  <c r="B19" i="21" s="1"/>
  <c r="B7" i="15"/>
  <c r="E5" i="15"/>
  <c r="G5" i="15" s="1"/>
  <c r="H7" i="15" s="1"/>
  <c r="G7" i="15" s="1"/>
  <c r="F7" i="15" s="1"/>
  <c r="F5" i="15"/>
  <c r="E6" i="15"/>
  <c r="G6" i="15" s="1"/>
  <c r="F6" i="15"/>
  <c r="B12" i="5"/>
  <c r="G61" i="10"/>
  <c r="C25" i="6"/>
  <c r="D20" i="6"/>
  <c r="D27" i="6" s="1"/>
  <c r="F27" i="6" s="1"/>
  <c r="D25" i="6"/>
  <c r="F25" i="6" s="1"/>
  <c r="C26" i="6"/>
  <c r="C27" i="6"/>
  <c r="C23" i="6"/>
  <c r="D23" i="6" s="1"/>
  <c r="F23" i="6" s="1"/>
  <c r="D18" i="6"/>
  <c r="C24" i="6"/>
  <c r="D19" i="6"/>
  <c r="D24" i="6"/>
  <c r="F24" i="6" s="1"/>
  <c r="B9" i="14"/>
  <c r="E5" i="14"/>
  <c r="F5" i="14"/>
  <c r="E6" i="14"/>
  <c r="F6" i="14"/>
  <c r="G6" i="14" s="1"/>
  <c r="H6" i="14" s="1"/>
  <c r="E7" i="14"/>
  <c r="F7" i="14"/>
  <c r="E8" i="14"/>
  <c r="F8" i="14"/>
  <c r="C12" i="4"/>
  <c r="C15" i="4" s="1"/>
  <c r="C13" i="4"/>
  <c r="C14" i="4"/>
  <c r="B15" i="4"/>
  <c r="E6" i="4"/>
  <c r="E5" i="4"/>
  <c r="C4" i="5"/>
  <c r="C5" i="5"/>
  <c r="C6" i="5"/>
  <c r="C7" i="5"/>
  <c r="C8" i="5"/>
  <c r="C9" i="5"/>
  <c r="C10" i="5"/>
  <c r="C11" i="5"/>
  <c r="E6" i="12"/>
  <c r="G6" i="12" s="1"/>
  <c r="H6" i="12" s="1"/>
  <c r="F6" i="12"/>
  <c r="E7" i="12"/>
  <c r="F7" i="12"/>
  <c r="G7" i="12"/>
  <c r="H7" i="12" s="1"/>
  <c r="E8" i="12"/>
  <c r="G8" i="12" s="1"/>
  <c r="H8" i="12" s="1"/>
  <c r="F8" i="12"/>
  <c r="E5" i="12"/>
  <c r="G5" i="12" s="1"/>
  <c r="H5" i="12" s="1"/>
  <c r="H9" i="12" s="1"/>
  <c r="G9" i="12" s="1"/>
  <c r="F9" i="12" s="1"/>
  <c r="F5" i="12"/>
  <c r="B18" i="23"/>
  <c r="B20" i="23" s="1"/>
  <c r="B21" i="23" s="1"/>
  <c r="B17" i="23"/>
  <c r="B19" i="23" s="1"/>
  <c r="E8" i="3"/>
  <c r="B16" i="22"/>
  <c r="C8" i="22" s="1"/>
  <c r="D8" i="22" s="1"/>
  <c r="A4" i="22"/>
  <c r="C9" i="22"/>
  <c r="D9" i="22"/>
  <c r="C10" i="22"/>
  <c r="D10" i="22" s="1"/>
  <c r="C13" i="22"/>
  <c r="D13" i="22" s="1"/>
  <c r="C14" i="22"/>
  <c r="D14" i="22" s="1"/>
  <c r="B18" i="24"/>
  <c r="B20" i="24" s="1"/>
  <c r="B21" i="24" s="1"/>
  <c r="B17" i="24"/>
  <c r="B19" i="24" s="1"/>
  <c r="E7" i="3"/>
  <c r="E6" i="3"/>
  <c r="B52" i="25"/>
  <c r="B57" i="25"/>
  <c r="B58" i="25" s="1"/>
  <c r="B56" i="25"/>
  <c r="C32" i="25"/>
  <c r="B65" i="25" s="1"/>
  <c r="E41" i="21"/>
  <c r="C9" i="21"/>
  <c r="K53" i="20"/>
  <c r="K52" i="20"/>
  <c r="C30" i="19"/>
  <c r="C29" i="19"/>
  <c r="C28" i="19"/>
  <c r="C27" i="19"/>
  <c r="C26" i="19"/>
  <c r="C25" i="19"/>
  <c r="C24" i="19"/>
  <c r="C23" i="19"/>
  <c r="C22" i="19"/>
  <c r="C21" i="19"/>
  <c r="C20" i="19"/>
  <c r="B16" i="19"/>
  <c r="E15" i="19"/>
  <c r="G15" i="19" s="1"/>
  <c r="H15" i="19" s="1"/>
  <c r="F15" i="19"/>
  <c r="E14" i="19"/>
  <c r="G14" i="19" s="1"/>
  <c r="H14" i="19" s="1"/>
  <c r="F14" i="19"/>
  <c r="E13" i="19"/>
  <c r="G13" i="19" s="1"/>
  <c r="H13" i="19" s="1"/>
  <c r="F13" i="19"/>
  <c r="E12" i="19"/>
  <c r="G12" i="19" s="1"/>
  <c r="H12" i="19" s="1"/>
  <c r="F12" i="19"/>
  <c r="E11" i="19"/>
  <c r="G11" i="19" s="1"/>
  <c r="H11" i="19" s="1"/>
  <c r="F11" i="19"/>
  <c r="E10" i="19"/>
  <c r="G10" i="19" s="1"/>
  <c r="H10" i="19" s="1"/>
  <c r="F10" i="19"/>
  <c r="E9" i="19"/>
  <c r="F9" i="19"/>
  <c r="G9" i="19" s="1"/>
  <c r="H9" i="19" s="1"/>
  <c r="E8" i="19"/>
  <c r="G8" i="19" s="1"/>
  <c r="H8" i="19" s="1"/>
  <c r="F8" i="19"/>
  <c r="E7" i="19"/>
  <c r="F7" i="19"/>
  <c r="G7" i="19" s="1"/>
  <c r="H7" i="19" s="1"/>
  <c r="E6" i="19"/>
  <c r="G6" i="19" s="1"/>
  <c r="H6" i="19" s="1"/>
  <c r="F6" i="19"/>
  <c r="E5" i="19"/>
  <c r="G5" i="19" s="1"/>
  <c r="H5" i="19" s="1"/>
  <c r="F5" i="19"/>
  <c r="C5" i="21"/>
  <c r="C10" i="21"/>
  <c r="C8" i="21"/>
  <c r="D36" i="21"/>
  <c r="E10" i="20"/>
  <c r="E8" i="20"/>
  <c r="E11" i="20"/>
  <c r="B18" i="18"/>
  <c r="D18" i="18" s="1"/>
  <c r="D20" i="18" s="1"/>
  <c r="F20" i="18" s="1"/>
  <c r="C18" i="18"/>
  <c r="C20" i="18" s="1"/>
  <c r="C19" i="18"/>
  <c r="B19" i="18"/>
  <c r="D19" i="18" s="1"/>
  <c r="F19" i="18" s="1"/>
  <c r="E19" i="18"/>
  <c r="E18" i="18"/>
  <c r="E20" i="18" s="1"/>
  <c r="G63" i="10"/>
  <c r="H63" i="10"/>
  <c r="G62" i="10"/>
  <c r="H62" i="10" s="1"/>
  <c r="H66" i="10" s="1"/>
  <c r="G64" i="10"/>
  <c r="H64" i="10"/>
  <c r="G65" i="10"/>
  <c r="H65" i="10"/>
  <c r="H5" i="11"/>
  <c r="K5" i="11"/>
  <c r="L5" i="11"/>
  <c r="H6" i="11"/>
  <c r="K6" i="11"/>
  <c r="L6" i="11"/>
  <c r="H7" i="11"/>
  <c r="K7" i="11"/>
  <c r="L7" i="11"/>
  <c r="H8" i="11"/>
  <c r="K8" i="11"/>
  <c r="L8" i="11"/>
  <c r="H9" i="11"/>
  <c r="K9" i="11"/>
  <c r="L9" i="11"/>
  <c r="H10" i="11"/>
  <c r="K10" i="11"/>
  <c r="L10" i="11"/>
  <c r="H11" i="11"/>
  <c r="K11" i="11"/>
  <c r="L11" i="11"/>
  <c r="K4" i="11"/>
  <c r="L4" i="11"/>
  <c r="H4" i="11"/>
  <c r="B17" i="17"/>
  <c r="C8" i="17" s="1"/>
  <c r="D8" i="17" s="1"/>
  <c r="C6" i="17"/>
  <c r="D6" i="17" s="1"/>
  <c r="C11" i="17"/>
  <c r="D11" i="17" s="1"/>
  <c r="C12" i="17"/>
  <c r="D12" i="17" s="1"/>
  <c r="C13" i="17"/>
  <c r="D13" i="17" s="1"/>
  <c r="C14" i="17"/>
  <c r="D14" i="17" s="1"/>
  <c r="C16" i="17"/>
  <c r="F5" i="16"/>
  <c r="G5" i="16" s="1"/>
  <c r="E5" i="16"/>
  <c r="H5" i="16"/>
  <c r="K56" i="10"/>
  <c r="F56" i="10"/>
  <c r="L56" i="10"/>
  <c r="N56" i="10" s="1"/>
  <c r="Q56" i="10" s="1"/>
  <c r="M56" i="10"/>
  <c r="O56" i="10"/>
  <c r="K55" i="10"/>
  <c r="M55" i="10"/>
  <c r="O55" i="10" s="1"/>
  <c r="F55" i="10"/>
  <c r="L55" i="10" s="1"/>
  <c r="N55" i="10" s="1"/>
  <c r="K54" i="10"/>
  <c r="F54" i="10"/>
  <c r="L54" i="10" s="1"/>
  <c r="N54" i="10"/>
  <c r="M54" i="10"/>
  <c r="O54" i="10"/>
  <c r="K53" i="10"/>
  <c r="F53" i="10"/>
  <c r="L53" i="10"/>
  <c r="N53" i="10" s="1"/>
  <c r="M53" i="10"/>
  <c r="O53" i="10"/>
  <c r="K52" i="10"/>
  <c r="F52" i="10"/>
  <c r="L52" i="10" s="1"/>
  <c r="N52" i="10" s="1"/>
  <c r="M52" i="10"/>
  <c r="O52" i="10" s="1"/>
  <c r="K51" i="10"/>
  <c r="F51" i="10"/>
  <c r="L51" i="10" s="1"/>
  <c r="N51" i="10" s="1"/>
  <c r="K50" i="10"/>
  <c r="F50" i="10"/>
  <c r="L50" i="10" s="1"/>
  <c r="N50" i="10" s="1"/>
  <c r="P50" i="10" s="1"/>
  <c r="M50" i="10"/>
  <c r="O50" i="10"/>
  <c r="K49" i="10"/>
  <c r="F49" i="10"/>
  <c r="L49" i="10"/>
  <c r="N49" i="10" s="1"/>
  <c r="P49" i="10" s="1"/>
  <c r="M49" i="10"/>
  <c r="O49" i="10"/>
  <c r="K48" i="10"/>
  <c r="F48" i="10"/>
  <c r="L48" i="10" s="1"/>
  <c r="N48" i="10"/>
  <c r="K47" i="10"/>
  <c r="F47" i="10"/>
  <c r="L47" i="10" s="1"/>
  <c r="N47" i="10" s="1"/>
  <c r="M47" i="10"/>
  <c r="O47" i="10"/>
  <c r="K46" i="10"/>
  <c r="F46" i="10"/>
  <c r="L46" i="10" s="1"/>
  <c r="N46" i="10"/>
  <c r="K45" i="10"/>
  <c r="M45" i="10"/>
  <c r="O45" i="10" s="1"/>
  <c r="F45" i="10"/>
  <c r="L45" i="10" s="1"/>
  <c r="N45" i="10" s="1"/>
  <c r="Q45" i="10" s="1"/>
  <c r="K44" i="10"/>
  <c r="F44" i="10"/>
  <c r="L44" i="10" s="1"/>
  <c r="N44" i="10" s="1"/>
  <c r="M44" i="10"/>
  <c r="O44" i="10"/>
  <c r="K43" i="10"/>
  <c r="F43" i="10"/>
  <c r="L43" i="10"/>
  <c r="N43" i="10"/>
  <c r="K42" i="10"/>
  <c r="F42" i="10"/>
  <c r="L42" i="10" s="1"/>
  <c r="N42" i="10" s="1"/>
  <c r="M42" i="10"/>
  <c r="O42" i="10"/>
  <c r="K41" i="10"/>
  <c r="F41" i="10"/>
  <c r="L41" i="10"/>
  <c r="N41" i="10" s="1"/>
  <c r="P41" i="10" s="1"/>
  <c r="M41" i="10"/>
  <c r="O41" i="10"/>
  <c r="K40" i="10"/>
  <c r="F40" i="10"/>
  <c r="L40" i="10" s="1"/>
  <c r="N40" i="10" s="1"/>
  <c r="K39" i="10"/>
  <c r="F39" i="10"/>
  <c r="M39" i="10"/>
  <c r="O39" i="10"/>
  <c r="K38" i="10"/>
  <c r="M38" i="10"/>
  <c r="O38" i="10" s="1"/>
  <c r="K37" i="10"/>
  <c r="L37" i="10" s="1"/>
  <c r="N37" i="10" s="1"/>
  <c r="M37" i="10"/>
  <c r="O37" i="10"/>
  <c r="F37" i="10"/>
  <c r="K36" i="10"/>
  <c r="F36" i="10"/>
  <c r="L36" i="10"/>
  <c r="N36" i="10" s="1"/>
  <c r="P36" i="10" s="1"/>
  <c r="M36" i="10"/>
  <c r="O36" i="10" s="1"/>
  <c r="K35" i="10"/>
  <c r="L35" i="10" s="1"/>
  <c r="N35" i="10" s="1"/>
  <c r="P35" i="10" s="1"/>
  <c r="F35" i="10"/>
  <c r="K34" i="10"/>
  <c r="M34" i="10"/>
  <c r="O34" i="10"/>
  <c r="K33" i="10"/>
  <c r="F33" i="10"/>
  <c r="L33" i="10" s="1"/>
  <c r="N33" i="10" s="1"/>
  <c r="M33" i="10"/>
  <c r="O33" i="10" s="1"/>
  <c r="M32" i="10"/>
  <c r="O32" i="10"/>
  <c r="K32" i="10"/>
  <c r="F32" i="10"/>
  <c r="L32" i="10" s="1"/>
  <c r="N32" i="10" s="1"/>
  <c r="K31" i="10"/>
  <c r="F31" i="10"/>
  <c r="M31" i="10"/>
  <c r="O31" i="10"/>
  <c r="M30" i="10"/>
  <c r="O30" i="10" s="1"/>
  <c r="K30" i="10"/>
  <c r="F30" i="10"/>
  <c r="L30" i="10" s="1"/>
  <c r="N30" i="10" s="1"/>
  <c r="K29" i="10"/>
  <c r="M29" i="10"/>
  <c r="O29" i="10" s="1"/>
  <c r="F29" i="10"/>
  <c r="L29" i="10" s="1"/>
  <c r="N29" i="10" s="1"/>
  <c r="P29" i="10" s="1"/>
  <c r="K28" i="10"/>
  <c r="F28" i="10"/>
  <c r="L28" i="10" s="1"/>
  <c r="N28" i="10" s="1"/>
  <c r="M28" i="10"/>
  <c r="O28" i="10" s="1"/>
  <c r="K27" i="10"/>
  <c r="F27" i="10"/>
  <c r="K26" i="10"/>
  <c r="M26" i="10"/>
  <c r="O26" i="10" s="1"/>
  <c r="K25" i="10"/>
  <c r="L25" i="10" s="1"/>
  <c r="N25" i="10" s="1"/>
  <c r="F25" i="10"/>
  <c r="M25" i="10"/>
  <c r="O25" i="10" s="1"/>
  <c r="K24" i="10"/>
  <c r="F24" i="10"/>
  <c r="L24" i="10" s="1"/>
  <c r="N24" i="10" s="1"/>
  <c r="P24" i="10" s="1"/>
  <c r="K23" i="10"/>
  <c r="F23" i="10"/>
  <c r="L23" i="10"/>
  <c r="N23" i="10" s="1"/>
  <c r="P23" i="10" s="1"/>
  <c r="M23" i="10"/>
  <c r="O23" i="10" s="1"/>
  <c r="K22" i="10"/>
  <c r="M22" i="10"/>
  <c r="O22" i="10" s="1"/>
  <c r="P22" i="10" s="1"/>
  <c r="K21" i="10"/>
  <c r="M21" i="10"/>
  <c r="O21" i="10" s="1"/>
  <c r="F21" i="10"/>
  <c r="L21" i="10" s="1"/>
  <c r="N21" i="10" s="1"/>
  <c r="Q21" i="10" s="1"/>
  <c r="K20" i="10"/>
  <c r="F20" i="10"/>
  <c r="L20" i="10" s="1"/>
  <c r="N20" i="10" s="1"/>
  <c r="M20" i="10"/>
  <c r="O20" i="10"/>
  <c r="K19" i="10"/>
  <c r="F19" i="10"/>
  <c r="L19" i="10" s="1"/>
  <c r="N19" i="10" s="1"/>
  <c r="K18" i="10"/>
  <c r="M18" i="10"/>
  <c r="O18" i="10" s="1"/>
  <c r="K17" i="10"/>
  <c r="F17" i="10"/>
  <c r="L17" i="10"/>
  <c r="N17" i="10" s="1"/>
  <c r="M17" i="10"/>
  <c r="O17" i="10" s="1"/>
  <c r="K16" i="10"/>
  <c r="L16" i="10" s="1"/>
  <c r="F16" i="10"/>
  <c r="N16" i="10"/>
  <c r="K15" i="10"/>
  <c r="F15" i="10"/>
  <c r="L15" i="10" s="1"/>
  <c r="N15" i="10" s="1"/>
  <c r="M15" i="10"/>
  <c r="O15" i="10" s="1"/>
  <c r="K14" i="10"/>
  <c r="M14" i="10"/>
  <c r="O14" i="10" s="1"/>
  <c r="K13" i="10"/>
  <c r="M13" i="10"/>
  <c r="O13" i="10" s="1"/>
  <c r="F13" i="10"/>
  <c r="L13" i="10" s="1"/>
  <c r="N13" i="10" s="1"/>
  <c r="K12" i="10"/>
  <c r="F12" i="10"/>
  <c r="L12" i="10"/>
  <c r="N12" i="10" s="1"/>
  <c r="M12" i="10"/>
  <c r="O12" i="10"/>
  <c r="M11" i="10"/>
  <c r="O11" i="10"/>
  <c r="K11" i="10"/>
  <c r="F11" i="10"/>
  <c r="L11" i="10"/>
  <c r="N11" i="10" s="1"/>
  <c r="K10" i="10"/>
  <c r="M10" i="10"/>
  <c r="O10" i="10" s="1"/>
  <c r="Q10" i="10" s="1"/>
  <c r="K9" i="10"/>
  <c r="F9" i="10"/>
  <c r="L9" i="10" s="1"/>
  <c r="N9" i="10" s="1"/>
  <c r="M9" i="10"/>
  <c r="O9" i="10" s="1"/>
  <c r="K8" i="10"/>
  <c r="F8" i="10"/>
  <c r="L8" i="10"/>
  <c r="N8" i="10"/>
  <c r="K7" i="10"/>
  <c r="F7" i="10"/>
  <c r="L7" i="10"/>
  <c r="N7" i="10" s="1"/>
  <c r="M7" i="10"/>
  <c r="O7" i="10" s="1"/>
  <c r="K6" i="10"/>
  <c r="M6" i="10"/>
  <c r="C11" i="9"/>
  <c r="Q54" i="10"/>
  <c r="Q36" i="10"/>
  <c r="P53" i="10"/>
  <c r="Q7" i="10"/>
  <c r="P7" i="10"/>
  <c r="Q49" i="10"/>
  <c r="Q50" i="10"/>
  <c r="P21" i="10"/>
  <c r="Q30" i="10"/>
  <c r="P30" i="10"/>
  <c r="M46" i="10"/>
  <c r="O46" i="10" s="1"/>
  <c r="M19" i="10"/>
  <c r="O19" i="10"/>
  <c r="M35" i="10"/>
  <c r="O35" i="10"/>
  <c r="Q35" i="10"/>
  <c r="M51" i="10"/>
  <c r="O51" i="10" s="1"/>
  <c r="M8" i="10"/>
  <c r="O8" i="10"/>
  <c r="M24" i="10"/>
  <c r="O24" i="10"/>
  <c r="Q24" i="10"/>
  <c r="F10" i="10"/>
  <c r="L10" i="10"/>
  <c r="N10" i="10" s="1"/>
  <c r="F18" i="10"/>
  <c r="L18" i="10"/>
  <c r="N18" i="10" s="1"/>
  <c r="Q18" i="10" s="1"/>
  <c r="F26" i="10"/>
  <c r="L26" i="10"/>
  <c r="N26" i="10" s="1"/>
  <c r="F34" i="10"/>
  <c r="L34" i="10" s="1"/>
  <c r="N34" i="10" s="1"/>
  <c r="P34" i="10" s="1"/>
  <c r="M43" i="10"/>
  <c r="O43" i="10"/>
  <c r="M40" i="10"/>
  <c r="O40" i="10" s="1"/>
  <c r="Q40" i="10"/>
  <c r="M48" i="10"/>
  <c r="O48" i="10" s="1"/>
  <c r="M27" i="10"/>
  <c r="O27" i="10"/>
  <c r="F6" i="10"/>
  <c r="L6" i="10" s="1"/>
  <c r="F14" i="10"/>
  <c r="L14" i="10" s="1"/>
  <c r="N14" i="10" s="1"/>
  <c r="F22" i="10"/>
  <c r="L22" i="10"/>
  <c r="N22" i="10"/>
  <c r="Q22" i="10" s="1"/>
  <c r="F38" i="10"/>
  <c r="L38" i="10"/>
  <c r="N38" i="10"/>
  <c r="Q38" i="10" s="1"/>
  <c r="P54" i="10"/>
  <c r="M16" i="10"/>
  <c r="O16" i="10" s="1"/>
  <c r="C19" i="8"/>
  <c r="C18" i="8"/>
  <c r="C20" i="8" s="1"/>
  <c r="C21" i="8" s="1"/>
  <c r="C23" i="8" s="1"/>
  <c r="C17" i="8"/>
  <c r="C12" i="8"/>
  <c r="C13" i="8" s="1"/>
  <c r="C15" i="8"/>
  <c r="C25" i="8" s="1"/>
  <c r="C7" i="8"/>
  <c r="C9" i="8" s="1"/>
  <c r="E20" i="7"/>
  <c r="I48" i="7"/>
  <c r="I56" i="7"/>
  <c r="F20" i="7"/>
  <c r="J48" i="7"/>
  <c r="J56" i="7"/>
  <c r="M66" i="7" s="1"/>
  <c r="Q31" i="7"/>
  <c r="O31" i="7"/>
  <c r="N31" i="7"/>
  <c r="M31" i="7"/>
  <c r="L31" i="7"/>
  <c r="K31" i="7"/>
  <c r="J31" i="7"/>
  <c r="I40" i="7" s="1"/>
  <c r="I31" i="7"/>
  <c r="H31" i="7"/>
  <c r="G31" i="7"/>
  <c r="F31" i="7"/>
  <c r="E31" i="7"/>
  <c r="D31" i="7"/>
  <c r="C31" i="7"/>
  <c r="B31" i="7"/>
  <c r="G21" i="7"/>
  <c r="E21" i="7"/>
  <c r="F21" i="7"/>
  <c r="J49" i="7"/>
  <c r="J57" i="7"/>
  <c r="G19" i="7"/>
  <c r="F19" i="7"/>
  <c r="J47" i="7"/>
  <c r="E19" i="7"/>
  <c r="I39" i="7" s="1"/>
  <c r="I47" i="7"/>
  <c r="I55" i="7"/>
  <c r="G18" i="7"/>
  <c r="G20" i="7"/>
  <c r="E18" i="7"/>
  <c r="E22" i="7"/>
  <c r="F18" i="7"/>
  <c r="J46" i="7" s="1"/>
  <c r="J54" i="7" s="1"/>
  <c r="B5" i="7"/>
  <c r="C6" i="7"/>
  <c r="C5" i="7"/>
  <c r="B18" i="5"/>
  <c r="J41" i="7"/>
  <c r="J55" i="7"/>
  <c r="J38" i="7"/>
  <c r="J40" i="7"/>
  <c r="P40" i="10"/>
  <c r="Q34" i="10"/>
  <c r="P38" i="10"/>
  <c r="F57" i="10"/>
  <c r="N66" i="7"/>
  <c r="C21" i="7"/>
  <c r="G41" i="7" s="1"/>
  <c r="B18" i="7"/>
  <c r="C18" i="7"/>
  <c r="B19" i="7"/>
  <c r="F47" i="7" s="1"/>
  <c r="F55" i="7" s="1"/>
  <c r="I38" i="7"/>
  <c r="F38" i="7"/>
  <c r="C32" i="21" l="1"/>
  <c r="C17" i="3"/>
  <c r="C18" i="3"/>
  <c r="C19" i="3"/>
  <c r="C15" i="3"/>
  <c r="C16" i="3"/>
  <c r="Q14" i="10"/>
  <c r="P14" i="10"/>
  <c r="N6" i="10"/>
  <c r="P44" i="10"/>
  <c r="Q44" i="10"/>
  <c r="Q25" i="10"/>
  <c r="P25" i="10"/>
  <c r="Q13" i="10"/>
  <c r="P13" i="10"/>
  <c r="Q48" i="10"/>
  <c r="Q29" i="10"/>
  <c r="G49" i="7"/>
  <c r="G57" i="7" s="1"/>
  <c r="Q26" i="10"/>
  <c r="P26" i="10"/>
  <c r="P45" i="10"/>
  <c r="P37" i="10"/>
  <c r="Q37" i="10"/>
  <c r="I64" i="10"/>
  <c r="J64" i="10" s="1"/>
  <c r="B56" i="20"/>
  <c r="B21" i="7"/>
  <c r="D21" i="7"/>
  <c r="K66" i="7"/>
  <c r="Q19" i="10"/>
  <c r="P19" i="10"/>
  <c r="P46" i="10"/>
  <c r="Q46" i="10"/>
  <c r="G38" i="7"/>
  <c r="G46" i="7"/>
  <c r="G54" i="7" s="1"/>
  <c r="L66" i="7"/>
  <c r="F22" i="7"/>
  <c r="J39" i="7"/>
  <c r="P56" i="10"/>
  <c r="Q9" i="10"/>
  <c r="P9" i="10"/>
  <c r="F46" i="7"/>
  <c r="F54" i="7" s="1"/>
  <c r="D18" i="7"/>
  <c r="I46" i="7"/>
  <c r="I54" i="7" s="1"/>
  <c r="C19" i="7"/>
  <c r="G22" i="7"/>
  <c r="H18" i="7" s="1"/>
  <c r="H19" i="7"/>
  <c r="D19" i="7"/>
  <c r="Q41" i="10"/>
  <c r="Q28" i="10"/>
  <c r="P28" i="10"/>
  <c r="P42" i="10"/>
  <c r="Q42" i="10"/>
  <c r="Q53" i="10"/>
  <c r="Q55" i="10"/>
  <c r="P55" i="10"/>
  <c r="E62" i="20"/>
  <c r="E63" i="20" s="1"/>
  <c r="E64" i="20"/>
  <c r="E65" i="20" s="1"/>
  <c r="E66" i="20" s="1"/>
  <c r="D54" i="20"/>
  <c r="D56" i="20" s="1"/>
  <c r="D57" i="20" s="1"/>
  <c r="D61" i="20" s="1"/>
  <c r="H54" i="20"/>
  <c r="H56" i="20" s="1"/>
  <c r="H57" i="20" s="1"/>
  <c r="H61" i="20" s="1"/>
  <c r="F54" i="20"/>
  <c r="F56" i="20" s="1"/>
  <c r="F57" i="20" s="1"/>
  <c r="F61" i="20" s="1"/>
  <c r="J54" i="20"/>
  <c r="K54" i="20" s="1"/>
  <c r="C54" i="20"/>
  <c r="G54" i="20"/>
  <c r="I54" i="20"/>
  <c r="I56" i="20" s="1"/>
  <c r="I57" i="20" s="1"/>
  <c r="I61" i="20" s="1"/>
  <c r="Q51" i="10"/>
  <c r="P51" i="10"/>
  <c r="Q8" i="10"/>
  <c r="P8" i="10"/>
  <c r="Q23" i="10"/>
  <c r="C68" i="25"/>
  <c r="B20" i="7"/>
  <c r="D20" i="7"/>
  <c r="H20" i="7"/>
  <c r="C20" i="7"/>
  <c r="P20" i="10"/>
  <c r="Q20" i="10"/>
  <c r="I63" i="10"/>
  <c r="J63" i="10" s="1"/>
  <c r="I66" i="10"/>
  <c r="Q12" i="10"/>
  <c r="P12" i="10"/>
  <c r="P43" i="10"/>
  <c r="Q43" i="10"/>
  <c r="P48" i="10"/>
  <c r="P10" i="10"/>
  <c r="Q11" i="10"/>
  <c r="P11" i="10"/>
  <c r="P15" i="10"/>
  <c r="Q15" i="10"/>
  <c r="Q47" i="10"/>
  <c r="P47" i="10"/>
  <c r="F18" i="18"/>
  <c r="C65" i="25"/>
  <c r="F39" i="7"/>
  <c r="P18" i="10"/>
  <c r="I49" i="7"/>
  <c r="I57" i="7" s="1"/>
  <c r="I41" i="7"/>
  <c r="O6" i="10"/>
  <c r="O57" i="10" s="1"/>
  <c r="M57" i="10"/>
  <c r="Q32" i="10"/>
  <c r="P32" i="10"/>
  <c r="Q52" i="10"/>
  <c r="P52" i="10"/>
  <c r="I62" i="10"/>
  <c r="J62" i="10" s="1"/>
  <c r="B20" i="18"/>
  <c r="C73" i="25"/>
  <c r="C67" i="25"/>
  <c r="Q33" i="10"/>
  <c r="P33" i="10"/>
  <c r="P16" i="10"/>
  <c r="Q16" i="10"/>
  <c r="I65" i="10"/>
  <c r="J65" i="10" s="1"/>
  <c r="H16" i="19"/>
  <c r="G16" i="19" s="1"/>
  <c r="F16" i="19" s="1"/>
  <c r="C71" i="25"/>
  <c r="C72" i="25"/>
  <c r="B80" i="20"/>
  <c r="B77" i="20"/>
  <c r="G56" i="20"/>
  <c r="G57" i="20" s="1"/>
  <c r="G61" i="20" s="1"/>
  <c r="P17" i="10"/>
  <c r="Q17" i="10"/>
  <c r="D10" i="12"/>
  <c r="C10" i="12"/>
  <c r="F28" i="6"/>
  <c r="H9" i="14"/>
  <c r="G9" i="14" s="1"/>
  <c r="F9" i="14" s="1"/>
  <c r="D9" i="14" s="1"/>
  <c r="L39" i="10"/>
  <c r="N39" i="10" s="1"/>
  <c r="D7" i="15"/>
  <c r="C7" i="15"/>
  <c r="B22" i="20"/>
  <c r="B24" i="20" s="1"/>
  <c r="B26" i="20" s="1"/>
  <c r="C74" i="25"/>
  <c r="C10" i="17"/>
  <c r="D10" i="17" s="1"/>
  <c r="D35" i="21"/>
  <c r="B43" i="21"/>
  <c r="B44" i="21" s="1"/>
  <c r="E44" i="21" s="1"/>
  <c r="B46" i="21" s="1"/>
  <c r="C56" i="20"/>
  <c r="C57" i="20" s="1"/>
  <c r="C61" i="20" s="1"/>
  <c r="B31" i="20"/>
  <c r="C66" i="25"/>
  <c r="L31" i="10"/>
  <c r="N31" i="10" s="1"/>
  <c r="C31" i="19"/>
  <c r="D24" i="19" s="1"/>
  <c r="E24" i="19" s="1"/>
  <c r="D28" i="19"/>
  <c r="E28" i="19" s="1"/>
  <c r="C12" i="5"/>
  <c r="B20" i="21"/>
  <c r="B22" i="21" s="1"/>
  <c r="B24" i="21" s="1"/>
  <c r="B83" i="20"/>
  <c r="B34" i="20"/>
  <c r="C9" i="17"/>
  <c r="D9" i="17" s="1"/>
  <c r="C7" i="17"/>
  <c r="C15" i="17"/>
  <c r="D15" i="17" s="1"/>
  <c r="D22" i="19"/>
  <c r="E22" i="19" s="1"/>
  <c r="D30" i="19"/>
  <c r="E30" i="19" s="1"/>
  <c r="F30" i="19" s="1"/>
  <c r="D26" i="6"/>
  <c r="F26" i="6" s="1"/>
  <c r="F30" i="6" s="1"/>
  <c r="C70" i="25"/>
  <c r="L27" i="10"/>
  <c r="N27" i="10" s="1"/>
  <c r="D23" i="19"/>
  <c r="E23" i="19" s="1"/>
  <c r="D37" i="21"/>
  <c r="D43" i="21"/>
  <c r="D44" i="21" s="1"/>
  <c r="C15" i="22"/>
  <c r="D15" i="22" s="1"/>
  <c r="C11" i="22"/>
  <c r="D11" i="22" s="1"/>
  <c r="C7" i="13"/>
  <c r="B10" i="13" s="1"/>
  <c r="C33" i="17"/>
  <c r="C25" i="17"/>
  <c r="C7" i="22"/>
  <c r="C32" i="17"/>
  <c r="C24" i="17"/>
  <c r="C31" i="17"/>
  <c r="C12" i="22"/>
  <c r="D12" i="22" s="1"/>
  <c r="C43" i="21"/>
  <c r="C44" i="21" s="1"/>
  <c r="C23" i="17"/>
  <c r="C27" i="17"/>
  <c r="D20" i="19"/>
  <c r="C34" i="17"/>
  <c r="D18" i="3" l="1"/>
  <c r="E18" i="3" s="1"/>
  <c r="C20" i="3"/>
  <c r="D15" i="3" s="1"/>
  <c r="E15" i="3" s="1"/>
  <c r="E20" i="3" s="1"/>
  <c r="D17" i="3"/>
  <c r="E17" i="3" s="1"/>
  <c r="D16" i="3"/>
  <c r="E16" i="3" s="1"/>
  <c r="D19" i="3"/>
  <c r="E19" i="3" s="1"/>
  <c r="C11" i="13"/>
  <c r="C12" i="13"/>
  <c r="F64" i="20"/>
  <c r="F65" i="20" s="1"/>
  <c r="F66" i="20" s="1"/>
  <c r="F62" i="20"/>
  <c r="F63" i="20" s="1"/>
  <c r="K38" i="7"/>
  <c r="D7" i="17"/>
  <c r="D17" i="17" s="1"/>
  <c r="C17" i="17"/>
  <c r="F29" i="6"/>
  <c r="G62" i="20"/>
  <c r="G63" i="20" s="1"/>
  <c r="G64" i="20"/>
  <c r="G65" i="20" s="1"/>
  <c r="G66" i="20" s="1"/>
  <c r="H48" i="7"/>
  <c r="H56" i="7" s="1"/>
  <c r="H40" i="7"/>
  <c r="F48" i="7"/>
  <c r="F56" i="7" s="1"/>
  <c r="J62" i="7" s="1"/>
  <c r="F40" i="7"/>
  <c r="H64" i="20"/>
  <c r="H65" i="20" s="1"/>
  <c r="H62" i="20"/>
  <c r="H63" i="20" s="1"/>
  <c r="G47" i="7"/>
  <c r="G55" i="7" s="1"/>
  <c r="G39" i="7"/>
  <c r="J56" i="20"/>
  <c r="J57" i="20" s="1"/>
  <c r="J61" i="20" s="1"/>
  <c r="E20" i="19"/>
  <c r="D7" i="22"/>
  <c r="D16" i="22" s="1"/>
  <c r="C16" i="22"/>
  <c r="C62" i="20"/>
  <c r="C63" i="20" s="1"/>
  <c r="C64" i="20"/>
  <c r="C65" i="20" s="1"/>
  <c r="C66" i="20" s="1"/>
  <c r="B11" i="15"/>
  <c r="B12" i="12"/>
  <c r="D64" i="20"/>
  <c r="D65" i="20" s="1"/>
  <c r="D62" i="20"/>
  <c r="D63" i="20" s="1"/>
  <c r="M65" i="7"/>
  <c r="N65" i="7"/>
  <c r="L65" i="7"/>
  <c r="J65" i="7"/>
  <c r="K65" i="7"/>
  <c r="Q39" i="10"/>
  <c r="P39" i="10"/>
  <c r="D22" i="7"/>
  <c r="H46" i="7"/>
  <c r="H54" i="7" s="1"/>
  <c r="H38" i="7"/>
  <c r="Q27" i="10"/>
  <c r="P27" i="10"/>
  <c r="I62" i="20"/>
  <c r="I63" i="20" s="1"/>
  <c r="I64" i="20"/>
  <c r="I65" i="20" s="1"/>
  <c r="I66" i="20" s="1"/>
  <c r="I63" i="7"/>
  <c r="L63" i="7"/>
  <c r="B57" i="20"/>
  <c r="K56" i="20"/>
  <c r="C9" i="14"/>
  <c r="B12" i="14" s="1"/>
  <c r="C16" i="19"/>
  <c r="D16" i="19"/>
  <c r="B22" i="7"/>
  <c r="C22" i="7"/>
  <c r="H21" i="7"/>
  <c r="H22" i="7" s="1"/>
  <c r="L57" i="10"/>
  <c r="M62" i="7"/>
  <c r="G62" i="7"/>
  <c r="I62" i="7"/>
  <c r="H49" i="7"/>
  <c r="H57" i="7" s="1"/>
  <c r="H41" i="7"/>
  <c r="N57" i="10"/>
  <c r="P6" i="10"/>
  <c r="Q6" i="10"/>
  <c r="Q57" i="10" s="1"/>
  <c r="D26" i="19"/>
  <c r="E26" i="19" s="1"/>
  <c r="D27" i="19"/>
  <c r="E27" i="19" s="1"/>
  <c r="D29" i="19"/>
  <c r="E29" i="19" s="1"/>
  <c r="F28" i="19" s="1"/>
  <c r="D25" i="19"/>
  <c r="E25" i="19" s="1"/>
  <c r="F24" i="19" s="1"/>
  <c r="D21" i="19"/>
  <c r="E21" i="19" s="1"/>
  <c r="G48" i="7"/>
  <c r="G56" i="7" s="1"/>
  <c r="H63" i="7" s="1"/>
  <c r="G40" i="7"/>
  <c r="H47" i="7"/>
  <c r="H55" i="7" s="1"/>
  <c r="H39" i="7"/>
  <c r="K39" i="7" s="1"/>
  <c r="F49" i="7"/>
  <c r="F57" i="7" s="1"/>
  <c r="F41" i="7"/>
  <c r="Q31" i="10"/>
  <c r="P31" i="10"/>
  <c r="C15" i="14" l="1"/>
  <c r="C14" i="14"/>
  <c r="C16" i="14"/>
  <c r="C13" i="14"/>
  <c r="B47" i="7"/>
  <c r="B55" i="7" s="1"/>
  <c r="C47" i="7"/>
  <c r="C55" i="7" s="1"/>
  <c r="N47" i="7"/>
  <c r="N55" i="7" s="1"/>
  <c r="M47" i="7"/>
  <c r="M55" i="7" s="1"/>
  <c r="D47" i="7"/>
  <c r="D55" i="7" s="1"/>
  <c r="L47" i="7"/>
  <c r="L55" i="7" s="1"/>
  <c r="K47" i="7"/>
  <c r="K55" i="7" s="1"/>
  <c r="E47" i="7"/>
  <c r="E55" i="7" s="1"/>
  <c r="B46" i="7"/>
  <c r="B54" i="7" s="1"/>
  <c r="L46" i="7"/>
  <c r="L54" i="7" s="1"/>
  <c r="D46" i="7"/>
  <c r="D54" i="7" s="1"/>
  <c r="K46" i="7"/>
  <c r="K54" i="7" s="1"/>
  <c r="C46" i="7"/>
  <c r="C54" i="7" s="1"/>
  <c r="M46" i="7"/>
  <c r="M54" i="7" s="1"/>
  <c r="E46" i="7"/>
  <c r="E54" i="7" s="1"/>
  <c r="N46" i="7"/>
  <c r="N54" i="7" s="1"/>
  <c r="H62" i="7"/>
  <c r="J63" i="7"/>
  <c r="C13" i="15"/>
  <c r="C12" i="15"/>
  <c r="B61" i="20"/>
  <c r="K57" i="20"/>
  <c r="E31" i="19"/>
  <c r="F20" i="19"/>
  <c r="D31" i="19"/>
  <c r="P57" i="10"/>
  <c r="K63" i="7"/>
  <c r="N62" i="7"/>
  <c r="N63" i="7"/>
  <c r="L62" i="7"/>
  <c r="M63" i="7"/>
  <c r="H66" i="20"/>
  <c r="D66" i="20"/>
  <c r="K40" i="7"/>
  <c r="C13" i="13"/>
  <c r="D12" i="13" s="1"/>
  <c r="E12" i="13" s="1"/>
  <c r="C16" i="12"/>
  <c r="C14" i="12"/>
  <c r="C13" i="12"/>
  <c r="C15" i="12"/>
  <c r="J64" i="20"/>
  <c r="J65" i="20" s="1"/>
  <c r="J62" i="20"/>
  <c r="J63" i="20" s="1"/>
  <c r="K41" i="7"/>
  <c r="K62" i="7"/>
  <c r="L64" i="7"/>
  <c r="J64" i="7"/>
  <c r="N64" i="7"/>
  <c r="K64" i="7"/>
  <c r="I64" i="7"/>
  <c r="M64" i="7"/>
  <c r="M49" i="7" l="1"/>
  <c r="M57" i="7" s="1"/>
  <c r="E49" i="7"/>
  <c r="E57" i="7" s="1"/>
  <c r="K49" i="7"/>
  <c r="K57" i="7" s="1"/>
  <c r="L49" i="7"/>
  <c r="L57" i="7" s="1"/>
  <c r="D49" i="7"/>
  <c r="D57" i="7" s="1"/>
  <c r="N49" i="7"/>
  <c r="N57" i="7" s="1"/>
  <c r="C49" i="7"/>
  <c r="C57" i="7" s="1"/>
  <c r="E59" i="7" s="1"/>
  <c r="B49" i="7"/>
  <c r="B57" i="7" s="1"/>
  <c r="E58" i="7" s="1"/>
  <c r="D11" i="13"/>
  <c r="B25" i="11"/>
  <c r="E20" i="11" s="1"/>
  <c r="C14" i="15"/>
  <c r="D12" i="15" s="1"/>
  <c r="J66" i="20"/>
  <c r="D15" i="11"/>
  <c r="N58" i="7"/>
  <c r="G58" i="7"/>
  <c r="D15" i="12"/>
  <c r="E15" i="12" s="1"/>
  <c r="C17" i="14"/>
  <c r="D13" i="14" s="1"/>
  <c r="B64" i="20"/>
  <c r="B65" i="20" s="1"/>
  <c r="B66" i="20" s="1"/>
  <c r="K66" i="20" s="1"/>
  <c r="B85" i="20" s="1"/>
  <c r="B62" i="20"/>
  <c r="B63" i="20" s="1"/>
  <c r="E48" i="7"/>
  <c r="E56" i="7" s="1"/>
  <c r="J61" i="7" s="1"/>
  <c r="M48" i="7"/>
  <c r="M56" i="7" s="1"/>
  <c r="N69" i="7" s="1"/>
  <c r="K48" i="7"/>
  <c r="K56" i="7" s="1"/>
  <c r="M67" i="7" s="1"/>
  <c r="D48" i="7"/>
  <c r="D56" i="7" s="1"/>
  <c r="J60" i="7" s="1"/>
  <c r="B48" i="7"/>
  <c r="B56" i="7" s="1"/>
  <c r="J58" i="7" s="1"/>
  <c r="J70" i="7" s="1"/>
  <c r="C75" i="7" s="1"/>
  <c r="C48" i="7"/>
  <c r="C56" i="7" s="1"/>
  <c r="F59" i="7" s="1"/>
  <c r="N48" i="7"/>
  <c r="N56" i="7" s="1"/>
  <c r="L48" i="7"/>
  <c r="L56" i="7" s="1"/>
  <c r="N68" i="7" s="1"/>
  <c r="G61" i="7"/>
  <c r="I61" i="7"/>
  <c r="N61" i="7"/>
  <c r="L61" i="7"/>
  <c r="F61" i="7"/>
  <c r="M61" i="7"/>
  <c r="H61" i="7"/>
  <c r="D16" i="14"/>
  <c r="E16" i="14" s="1"/>
  <c r="D14" i="14"/>
  <c r="E14" i="14" s="1"/>
  <c r="C17" i="12"/>
  <c r="D13" i="12"/>
  <c r="D14" i="12"/>
  <c r="E14" i="12" s="1"/>
  <c r="D16" i="12"/>
  <c r="E16" i="12" s="1"/>
  <c r="N59" i="7"/>
  <c r="K59" i="7"/>
  <c r="L59" i="7"/>
  <c r="H59" i="7"/>
  <c r="J59" i="7"/>
  <c r="D59" i="7"/>
  <c r="G59" i="7"/>
  <c r="I59" i="7"/>
  <c r="D15" i="14"/>
  <c r="E15" i="14" s="1"/>
  <c r="D13" i="15" l="1"/>
  <c r="E13" i="15" s="1"/>
  <c r="E21" i="11"/>
  <c r="E18" i="11"/>
  <c r="E22" i="11"/>
  <c r="E19" i="11"/>
  <c r="E17" i="11"/>
  <c r="E16" i="11"/>
  <c r="D17" i="14"/>
  <c r="E13" i="14"/>
  <c r="D12" i="14"/>
  <c r="M58" i="7"/>
  <c r="K58" i="7"/>
  <c r="K70" i="7" s="1"/>
  <c r="D75" i="7" s="1"/>
  <c r="K60" i="7"/>
  <c r="C58" i="7"/>
  <c r="C70" i="7" s="1"/>
  <c r="D58" i="7"/>
  <c r="D70" i="7" s="1"/>
  <c r="E60" i="7"/>
  <c r="E70" i="7" s="1"/>
  <c r="F60" i="7"/>
  <c r="E12" i="15"/>
  <c r="L58" i="7"/>
  <c r="L67" i="7"/>
  <c r="I58" i="7"/>
  <c r="I70" i="7" s="1"/>
  <c r="B75" i="7" s="1"/>
  <c r="L60" i="7"/>
  <c r="H60" i="7"/>
  <c r="N67" i="7"/>
  <c r="F58" i="7"/>
  <c r="F70" i="7" s="1"/>
  <c r="I60" i="7"/>
  <c r="N60" i="7"/>
  <c r="N70" i="7" s="1"/>
  <c r="G75" i="7" s="1"/>
  <c r="E13" i="12"/>
  <c r="E17" i="12" s="1"/>
  <c r="D17" i="12"/>
  <c r="K61" i="7"/>
  <c r="B70" i="7"/>
  <c r="M60" i="7"/>
  <c r="G60" i="7"/>
  <c r="G70" i="7" s="1"/>
  <c r="M59" i="7"/>
  <c r="M68" i="7"/>
  <c r="H58" i="7"/>
  <c r="H70" i="7" s="1"/>
  <c r="D13" i="13"/>
  <c r="E11" i="13"/>
  <c r="E13" i="13" s="1"/>
  <c r="D14" i="15" l="1"/>
  <c r="E15" i="11"/>
  <c r="F15" i="11"/>
  <c r="E17" i="14"/>
  <c r="E12" i="14"/>
  <c r="M70" i="7"/>
  <c r="F75" i="7" s="1"/>
  <c r="L70" i="7"/>
  <c r="E75" i="7" s="1"/>
</calcChain>
</file>

<file path=xl/comments1.xml><?xml version="1.0" encoding="utf-8"?>
<comments xmlns="http://schemas.openxmlformats.org/spreadsheetml/2006/main">
  <authors>
    <author>Emily McGlynn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Emily McGlynn:</t>
        </r>
        <r>
          <rPr>
            <sz val="9"/>
            <color indexed="81"/>
            <rFont val="Tahoma"/>
            <family val="2"/>
          </rPr>
          <t xml:space="preserve">
Udawatta and Jose 2012 - note I use the numbers from their results on page 9, not from Table 3 (their windbreak numbers in the table make no sense)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Emily McGlynn:</t>
        </r>
        <r>
          <rPr>
            <sz val="9"/>
            <color indexed="81"/>
            <rFont val="Tahoma"/>
            <family val="2"/>
          </rPr>
          <t xml:space="preserve">
Nair and Nair 2003 (see Udawatta and Jose 2012, pg 9)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>Emily McGlynn:</t>
        </r>
        <r>
          <rPr>
            <sz val="9"/>
            <color indexed="81"/>
            <rFont val="Tahoma"/>
            <family val="2"/>
          </rPr>
          <t xml:space="preserve">
Udawatta and Jose 2012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Emily McGlynn:</t>
        </r>
        <r>
          <rPr>
            <sz val="9"/>
            <color indexed="81"/>
            <rFont val="Tahoma"/>
            <family val="2"/>
          </rPr>
          <t xml:space="preserve">
Nair and Nair 2003 - calculated from Udawatta and Jose 2012 description on pg 13-14, indicating they estimate 2.4 m ha available, 1.5 Tg C/yr total sequestration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Emily McGlynn:</t>
        </r>
        <r>
          <rPr>
            <sz val="9"/>
            <color indexed="81"/>
            <rFont val="Tahoma"/>
            <family val="2"/>
          </rPr>
          <t xml:space="preserve">
Udawatta and Jose 2012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Emily McGlynn:</t>
        </r>
        <r>
          <rPr>
            <sz val="9"/>
            <color indexed="81"/>
            <rFont val="Tahoma"/>
            <family val="2"/>
          </rPr>
          <t xml:space="preserve">
Nair and Nair 2003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Emily McGlynn:</t>
        </r>
        <r>
          <rPr>
            <sz val="9"/>
            <color indexed="81"/>
            <rFont val="Tahoma"/>
            <family val="2"/>
          </rPr>
          <t xml:space="preserve">
Udawatta and Jose 2012 main estimate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Emily McGlynn:</t>
        </r>
        <r>
          <rPr>
            <sz val="9"/>
            <color indexed="81"/>
            <rFont val="Tahoma"/>
            <family val="2"/>
          </rPr>
          <t xml:space="preserve">
Nair and Nair 2003 low estimate (their high estimate is 3.3)</t>
        </r>
      </text>
    </comment>
  </commentList>
</comments>
</file>

<file path=xl/comments2.xml><?xml version="1.0" encoding="utf-8"?>
<comments xmlns="http://schemas.openxmlformats.org/spreadsheetml/2006/main">
  <authors>
    <author>Emily McGlynn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Emily McGlynn:</t>
        </r>
        <r>
          <rPr>
            <sz val="9"/>
            <color indexed="81"/>
            <rFont val="Tahoma"/>
            <family val="2"/>
          </rPr>
          <t xml:space="preserve">
2018 NGHGI, page 6-24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Emily McGlynn:</t>
        </r>
        <r>
          <rPr>
            <sz val="9"/>
            <color indexed="81"/>
            <rFont val="Tahoma"/>
            <family val="2"/>
          </rPr>
          <t xml:space="preserve">
2019 NGHGI, page 6-34</t>
        </r>
      </text>
    </comment>
    <comment ref="A53" authorId="0" shapeId="0">
      <text>
        <r>
          <rPr>
            <b/>
            <sz val="9"/>
            <color indexed="81"/>
            <rFont val="Tahoma"/>
            <family val="2"/>
          </rPr>
          <t>Emily McGlynn:</t>
        </r>
        <r>
          <rPr>
            <sz val="9"/>
            <color indexed="81"/>
            <rFont val="Tahoma"/>
            <family val="2"/>
          </rPr>
          <t xml:space="preserve">
http://forestry.alaska.gov/firestats/</t>
        </r>
      </text>
    </comment>
    <comment ref="A55" authorId="0" shapeId="0">
      <text>
        <r>
          <rPr>
            <b/>
            <sz val="9"/>
            <color indexed="81"/>
            <rFont val="Tahoma"/>
            <family val="2"/>
          </rPr>
          <t>Emily McGlynn:</t>
        </r>
        <r>
          <rPr>
            <sz val="9"/>
            <color indexed="81"/>
            <rFont val="Tahoma"/>
            <family val="2"/>
          </rPr>
          <t xml:space="preserve">
http://forestry.alaska.gov/firestats/</t>
        </r>
      </text>
    </comment>
  </commentList>
</comments>
</file>

<file path=xl/sharedStrings.xml><?xml version="1.0" encoding="utf-8"?>
<sst xmlns="http://schemas.openxmlformats.org/spreadsheetml/2006/main" count="905" uniqueCount="600">
  <si>
    <t>95% confidence interval for 2014 estimate (MMT CO2e)</t>
  </si>
  <si>
    <t>2014 estimate (MMT CO2e)</t>
  </si>
  <si>
    <t>Lower bound</t>
  </si>
  <si>
    <t>Upper bound</t>
  </si>
  <si>
    <t>Range</t>
  </si>
  <si>
    <t>Emitted CH4</t>
  </si>
  <si>
    <t>Emitted N2O</t>
  </si>
  <si>
    <t>Total (CH4 + N2O)</t>
  </si>
  <si>
    <t>Contribution index results</t>
  </si>
  <si>
    <t>MMT CO2e contribution (CH4 + N2O), 2014</t>
  </si>
  <si>
    <t>Burned area</t>
  </si>
  <si>
    <t>Fuel availabilities for wildfires and prescribed fires in conterminous United States</t>
  </si>
  <si>
    <t>Combustion factor for conterminous United States</t>
  </si>
  <si>
    <t>Fuel availability–combustion factor for Alaska</t>
  </si>
  <si>
    <t>Emissions factors</t>
  </si>
  <si>
    <t>Total</t>
  </si>
  <si>
    <t>Fuel availability</t>
  </si>
  <si>
    <t>Land use (NRI data)</t>
  </si>
  <si>
    <t>Tillage practices (CTIC data)</t>
  </si>
  <si>
    <t>Reference carbon stocks</t>
  </si>
  <si>
    <t>Input factor</t>
  </si>
  <si>
    <t>Tillage factor</t>
  </si>
  <si>
    <t>Land use change factor</t>
  </si>
  <si>
    <t xml:space="preserve"> Improved pasture</t>
  </si>
  <si>
    <t>Carbon loss rate (organic soils)</t>
  </si>
  <si>
    <t xml:space="preserve">Total organic soil C emissions of federal grasslands </t>
  </si>
  <si>
    <t xml:space="preserve">Total N2O emissions of federal land (cropland &amp; grassland) minus PRP on grassland </t>
  </si>
  <si>
    <t>Forest</t>
  </si>
  <si>
    <t>Yard Trimmings Multiplier</t>
  </si>
  <si>
    <t>Food Scraps Multiplier</t>
  </si>
  <si>
    <t>Fraction of Total Weight</t>
  </si>
  <si>
    <t>Moisture Content</t>
  </si>
  <si>
    <t>Initial Carbon Content</t>
  </si>
  <si>
    <t>Percent Carbon Stored</t>
  </si>
  <si>
    <t>Decay Rates</t>
  </si>
  <si>
    <t>Urban Area</t>
  </si>
  <si>
    <t>Tree Cover Percentage</t>
  </si>
  <si>
    <t>Gross Sequestration Rate</t>
  </si>
  <si>
    <t>Contribution index results*</t>
  </si>
  <si>
    <t>MMT CO2e contribution, 2016</t>
  </si>
  <si>
    <t>Total**</t>
  </si>
  <si>
    <t>*Source: Ogle et al., 2003</t>
  </si>
  <si>
    <t>**Doesn't sum to 1 due to rounding</t>
  </si>
  <si>
    <t>Upper</t>
  </si>
  <si>
    <t>Lower</t>
  </si>
  <si>
    <t>Total 95% confidence interval, 2016 Tier 1 and 2</t>
  </si>
  <si>
    <t>AK Land use type*</t>
  </si>
  <si>
    <t>Hectares</t>
  </si>
  <si>
    <t>Source</t>
  </si>
  <si>
    <t>Grassland (managed)</t>
  </si>
  <si>
    <t>Land Representation XLS</t>
  </si>
  <si>
    <t>Grassland (unmanaged)</t>
  </si>
  <si>
    <t>Cropland (managed)</t>
  </si>
  <si>
    <t>Cropland (unmanaged)</t>
  </si>
  <si>
    <t>Forest (managed)</t>
  </si>
  <si>
    <t>Forest (unmanaged)</t>
  </si>
  <si>
    <t>Forest soil texture</t>
  </si>
  <si>
    <t>%</t>
  </si>
  <si>
    <t>Clay</t>
  </si>
  <si>
    <t>Silt</t>
  </si>
  <si>
    <t>Sand</t>
  </si>
  <si>
    <t>Land type</t>
  </si>
  <si>
    <t>Mineral soil land area (ha)</t>
  </si>
  <si>
    <t>% Mineral soil</t>
  </si>
  <si>
    <t>Grassland</t>
  </si>
  <si>
    <t>NGHGI, Table A-198</t>
  </si>
  <si>
    <t>Cropland</t>
  </si>
  <si>
    <t>NGHGI, Table A-249</t>
  </si>
  <si>
    <t>Land area w/out AK</t>
  </si>
  <si>
    <t>Adjusted for organic soils</t>
  </si>
  <si>
    <t xml:space="preserve">CH4 flux factor (CH4 ha-1 yr-1) </t>
  </si>
  <si>
    <t xml:space="preserve">Total MMT CO2e </t>
  </si>
  <si>
    <t>NGHGI, Table 6-6</t>
  </si>
  <si>
    <t>Forest - coarse</t>
  </si>
  <si>
    <t>Forest - medium</t>
  </si>
  <si>
    <t>Forest - fine</t>
  </si>
  <si>
    <t>Grassland/Cropland Total</t>
  </si>
  <si>
    <t>C sequestration rates from Udwatta and Jose, 2012 (high) and Nair and Nair, 2003 (low) - Mg C ha-1 yr-1</t>
  </si>
  <si>
    <t>Type of AFP</t>
  </si>
  <si>
    <t>High</t>
  </si>
  <si>
    <t>Low</t>
  </si>
  <si>
    <t>Windbreaks</t>
  </si>
  <si>
    <t>Riparian barriers</t>
  </si>
  <si>
    <t>Alley cropping</t>
  </si>
  <si>
    <t>Silvopasture</t>
  </si>
  <si>
    <t xml:space="preserve">Legacy discount   </t>
  </si>
  <si>
    <t>Years</t>
  </si>
  <si>
    <t>Discount</t>
  </si>
  <si>
    <t>Total area in U.S. applied through USDA conservation program FY 2008-2012 (Ha)*</t>
  </si>
  <si>
    <t>% of total land</t>
  </si>
  <si>
    <t>Riparian</t>
  </si>
  <si>
    <t xml:space="preserve">Total   </t>
  </si>
  <si>
    <t xml:space="preserve">*Source: USDA. (2012). Agroforestry USDA Reports to America, Fiscal Years 201-2012 – Comprehensive Version. - pg 5, Table 1, Table 3 </t>
  </si>
  <si>
    <t>USDA budget (USD)*</t>
  </si>
  <si>
    <t>CRP</t>
  </si>
  <si>
    <t>CSP**</t>
  </si>
  <si>
    <t>EQIP</t>
  </si>
  <si>
    <t>*Source: USDA Budget Summary for 2003 through 2016</t>
  </si>
  <si>
    <t>**CSP initiated in 2009; 2003-2008 data reflects precursor program, the Conservation Security Program</t>
  </si>
  <si>
    <t>Ratio (total area/total budget)</t>
  </si>
  <si>
    <t>Average</t>
  </si>
  <si>
    <t>Backcasted and forecasted area (Ha)</t>
  </si>
  <si>
    <t xml:space="preserve">Alley cropping </t>
  </si>
  <si>
    <t>2004 legacy</t>
  </si>
  <si>
    <t>2005 legacy</t>
  </si>
  <si>
    <t>2006 legacy</t>
  </si>
  <si>
    <t>2007 legacy</t>
  </si>
  <si>
    <t>2008 legacy</t>
  </si>
  <si>
    <t>2009 legacy</t>
  </si>
  <si>
    <t>2010 legacy</t>
  </si>
  <si>
    <t>2011 legacy</t>
  </si>
  <si>
    <t>2012 legacy</t>
  </si>
  <si>
    <t>2013 legacy</t>
  </si>
  <si>
    <t>2014 legacy</t>
  </si>
  <si>
    <t>2015 legacy</t>
  </si>
  <si>
    <t>Summary Table</t>
  </si>
  <si>
    <t>Legacy Applied</t>
  </si>
  <si>
    <t>Estimate</t>
  </si>
  <si>
    <t>Category</t>
  </si>
  <si>
    <t>Unit</t>
  </si>
  <si>
    <t>Quantity</t>
  </si>
  <si>
    <t>Total area of non-federal grasslands (including all conversions to grassland)</t>
  </si>
  <si>
    <t xml:space="preserve">Ha </t>
  </si>
  <si>
    <t>Total C emissions of non-federal grasslands (organic soil)</t>
  </si>
  <si>
    <t>MMT CO2e</t>
  </si>
  <si>
    <t>NGHGI, Table 6-34 and 6-41</t>
  </si>
  <si>
    <t>Emissions Factor (calculated)</t>
  </si>
  <si>
    <t>MMT CO2e ha-1</t>
  </si>
  <si>
    <t xml:space="preserve">Total area of federal grasslands </t>
  </si>
  <si>
    <t>Ha</t>
  </si>
  <si>
    <t>Total area of non-federal cropland (including all conversions to cropland)</t>
  </si>
  <si>
    <t>Total N2O emissions of non-federal cropland (direct and indirect)</t>
  </si>
  <si>
    <t>NGHGI, Table 5-16</t>
  </si>
  <si>
    <t>Emissions factor (calculated)</t>
  </si>
  <si>
    <t>Total area of federal cropland (including all conversions to cropland)</t>
  </si>
  <si>
    <t>Total N2O emissions of federal cropland</t>
  </si>
  <si>
    <t>Total area of non-federal grassland (including all conversions to grassland)</t>
  </si>
  <si>
    <t>Total N2O emissions of non-federal grassland (direct and indirect)</t>
  </si>
  <si>
    <t>NGHGI, Table 5-18</t>
  </si>
  <si>
    <t xml:space="preserve">Total PRP N2O emissions direct + indirect </t>
  </si>
  <si>
    <t>NGHGI, Table 5-18 and 5-19</t>
  </si>
  <si>
    <t xml:space="preserve">Total N2O emissions of non-federal grassland minus PRP </t>
  </si>
  <si>
    <t>Total area of federal grassland</t>
  </si>
  <si>
    <t>Total N2O emissions of federal grassland minus PRP</t>
  </si>
  <si>
    <t>*NOTE: these AK land areas are larger than the ones noted in the USGS analysis of C stocks, CO2 fluxes and CH4 fluxes in AK land area, as discussed in the NGHGI Box 6-5. This may be because the USGS assessment did not include several islands, glacier, bare ground or urban areas.</t>
  </si>
  <si>
    <t>Soil properties</t>
  </si>
  <si>
    <t>Leaching, runoff, and volatilization</t>
  </si>
  <si>
    <t>Organic matter formation and decomposition</t>
  </si>
  <si>
    <t>Nitrification and denitrification processes</t>
  </si>
  <si>
    <t>Manure and other organic fertilizer applications</t>
  </si>
  <si>
    <t>Tillage (conventional, reduced, no-till)</t>
  </si>
  <si>
    <t>Fertilization management</t>
  </si>
  <si>
    <t>Soil and water temperature regimes by layer</t>
  </si>
  <si>
    <t>Plant growth and phenology</t>
  </si>
  <si>
    <t>Irrigation</t>
  </si>
  <si>
    <t>Harvest, variable residue removal</t>
  </si>
  <si>
    <t>Flooding/drainage for rice cultivation</t>
  </si>
  <si>
    <t>Crop types</t>
  </si>
  <si>
    <t>Enhanced Vegetation Index (EVI) data</t>
  </si>
  <si>
    <t>Organic amendments for rice cultivation</t>
  </si>
  <si>
    <t>Crop sequences (rotation)</t>
  </si>
  <si>
    <t>Methanogenesis</t>
  </si>
  <si>
    <t>Burning (grasslands)</t>
  </si>
  <si>
    <t>Surrogate data</t>
  </si>
  <si>
    <t>Expansion factors</t>
  </si>
  <si>
    <t>Reference carbon stock</t>
  </si>
  <si>
    <t>Tons C ha-1</t>
  </si>
  <si>
    <t>Low clay activity mineral soils</t>
  </si>
  <si>
    <t>Stock change value for land-use system</t>
  </si>
  <si>
    <t>Dimensionless</t>
  </si>
  <si>
    <t>Stock change factor for management regime</t>
  </si>
  <si>
    <t>Low input cropland</t>
  </si>
  <si>
    <t>Stock change factor for input of organic matter</t>
  </si>
  <si>
    <t>Time change factor for stock change</t>
  </si>
  <si>
    <t>Default value in Tier 2 calculations</t>
  </si>
  <si>
    <t>Urban land area</t>
  </si>
  <si>
    <t>Urban area estimation in Urban Trees calculation</t>
  </si>
  <si>
    <t>Consistent with</t>
  </si>
  <si>
    <t>Urban Area SE</t>
  </si>
  <si>
    <t>Tree Cover %</t>
  </si>
  <si>
    <t>Tree Cover % SE</t>
  </si>
  <si>
    <t xml:space="preserve">Urban Tree Cover </t>
  </si>
  <si>
    <t>Gross Sequestration Rate SE</t>
  </si>
  <si>
    <t>Gross to Net Sequestration Rate</t>
  </si>
  <si>
    <t>Gross to Net Sequestration Rate SE</t>
  </si>
  <si>
    <t>Net Sequestration Rate</t>
  </si>
  <si>
    <t>Net Sequestration</t>
  </si>
  <si>
    <t>Net Sequestration SE</t>
  </si>
  <si>
    <t>Net Flux</t>
  </si>
  <si>
    <t>Net Flux SE</t>
  </si>
  <si>
    <t>Net Flux 95% Confidence Interval</t>
  </si>
  <si>
    <t>Uncertainty Inputs</t>
  </si>
  <si>
    <t xml:space="preserve">Table 1 (the UC column, which is a combination of Urban and Community areas) of Nowak, D.J., and Greenfield, E.J. (2012) </t>
  </si>
  <si>
    <t>Calculated</t>
  </si>
  <si>
    <t>Rate column of Table 3 in Nowak 2013</t>
  </si>
  <si>
    <t>Assumed 0.74 from Nowak 2013 unless state-level estimate is provided</t>
  </si>
  <si>
    <t>State</t>
  </si>
  <si>
    <t>km2</t>
  </si>
  <si>
    <t>kg C/m2 cover/yr</t>
  </si>
  <si>
    <t>Ratio</t>
  </si>
  <si>
    <t>Tonnes C/yr</t>
  </si>
  <si>
    <t>Lower Bound</t>
  </si>
  <si>
    <t>Upper Bound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</si>
  <si>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</si>
  <si>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</si>
  <si>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</si>
  <si>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</si>
  <si>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</si>
  <si>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</si>
  <si>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</si>
  <si>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</si>
  <si>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DC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</si>
  <si>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</si>
  <si>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</si>
  <si>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</si>
  <si>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</si>
  <si>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</si>
  <si>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</si>
  <si>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</si>
  <si>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</si>
  <si>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</si>
  <si>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</si>
  <si>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</si>
  <si>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</si>
  <si>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</si>
  <si>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</si>
  <si>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</si>
  <si>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</si>
  <si>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</si>
  <si>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</si>
  <si>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</si>
  <si>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</si>
  <si>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</si>
  <si>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</si>
  <si>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</si>
  <si>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</si>
  <si>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</si>
  <si>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</si>
  <si>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</si>
  <si>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</si>
  <si>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</si>
  <si>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</si>
  <si>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</si>
  <si>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</si>
  <si>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</si>
  <si>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</si>
  <si>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</si>
  <si>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</si>
  <si>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</si>
  <si>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</si>
  <si>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</si>
  <si>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</si>
  <si>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</si>
  <si>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</si>
  <si>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2016 Total</t>
  </si>
  <si>
    <t>Census data extrapolated from 2000-2010</t>
  </si>
  <si>
    <t>Variance</t>
  </si>
  <si>
    <t>Difference in Interval Size</t>
  </si>
  <si>
    <t>-</t>
  </si>
  <si>
    <t>Mean</t>
  </si>
  <si>
    <t>Lower difference</t>
  </si>
  <si>
    <t>Upper difference</t>
  </si>
  <si>
    <t>Standard deviation</t>
  </si>
  <si>
    <t>CO2 Direct</t>
  </si>
  <si>
    <t>CO2 Dissolved organic C</t>
  </si>
  <si>
    <t>CH4</t>
  </si>
  <si>
    <t>N2O</t>
  </si>
  <si>
    <t>Combined</t>
  </si>
  <si>
    <t>Variable held constant</t>
  </si>
  <si>
    <t>Contribution to uncertainty (%)</t>
  </si>
  <si>
    <t>Contribution to uncertainty  (MMT CO2e)</t>
  </si>
  <si>
    <t>CO2</t>
  </si>
  <si>
    <t>CO2 dissolved</t>
  </si>
  <si>
    <t>Contribution to uncertainty (MMT CO2e)</t>
  </si>
  <si>
    <t>CRC</t>
  </si>
  <si>
    <t>LCC</t>
  </si>
  <si>
    <t>GRG</t>
  </si>
  <si>
    <t>LCG</t>
  </si>
  <si>
    <t>Organic settlement soil</t>
  </si>
  <si>
    <t>--</t>
  </si>
  <si>
    <t>Section 1 - Prompt 1</t>
  </si>
  <si>
    <t>Element</t>
  </si>
  <si>
    <t>Sum</t>
  </si>
  <si>
    <t>Section 1 - Prompt 2</t>
  </si>
  <si>
    <t>Grazing intensity</t>
  </si>
  <si>
    <t>Daily weather data</t>
  </si>
  <si>
    <t>NRI time series</t>
  </si>
  <si>
    <t>Proportional Attribution</t>
  </si>
  <si>
    <t>Gross to Net Ratio</t>
  </si>
  <si>
    <t>Variable Held Constant</t>
  </si>
  <si>
    <t>Organic settlement soils</t>
  </si>
  <si>
    <t>Mean Flux (MMT CO2e)</t>
  </si>
  <si>
    <t>Lower Estimate (MMT CO2e)</t>
  </si>
  <si>
    <t>Upper Estimate (MMT CO2e)</t>
  </si>
  <si>
    <t>Lower difference (MMT CO2e)</t>
  </si>
  <si>
    <t>Upper difference (MMT CO2e)</t>
  </si>
  <si>
    <t>Upper difference (MMT C)</t>
  </si>
  <si>
    <t>Lower difference (MMT C)</t>
  </si>
  <si>
    <t>Mean Flux (MMT C)</t>
  </si>
  <si>
    <t>Range Difference</t>
  </si>
  <si>
    <t>Contribution (MMT CO2e)</t>
  </si>
  <si>
    <t>Woody</t>
  </si>
  <si>
    <t>Herbaceous</t>
  </si>
  <si>
    <t>Woody + herbaceous</t>
  </si>
  <si>
    <t>MMT CO2e (total, CH4 + N2O)</t>
  </si>
  <si>
    <t>MMT CO2e (for N2O)</t>
  </si>
  <si>
    <t>MMT CO2e (for CH4)</t>
  </si>
  <si>
    <t>Biomass type</t>
  </si>
  <si>
    <t>Emissions estimate</t>
  </si>
  <si>
    <t>IPCC (2007)</t>
  </si>
  <si>
    <t>metric tons CO2e per metric ton N2O emitted</t>
  </si>
  <si>
    <t>GWP (N2O, 100-y)</t>
  </si>
  <si>
    <t>metric tons CO2e per metric ton CH4 emitted</t>
  </si>
  <si>
    <t>GWP (CH4, 100-y)</t>
  </si>
  <si>
    <t>NGHGI (2018)</t>
  </si>
  <si>
    <t>metric tons dry matter burned per metric tons dry matter available</t>
  </si>
  <si>
    <t>Combustion factor (for herbaceous biomass calculation)</t>
  </si>
  <si>
    <t>IPCC (2006)</t>
  </si>
  <si>
    <t>metric tons dry matter available per ha</t>
  </si>
  <si>
    <t>Fuel availability (for herbaceous biomass calculation)</t>
  </si>
  <si>
    <t>IPCC (2006), "all shrublands"</t>
  </si>
  <si>
    <t>metric tons dry matter burned per ha</t>
  </si>
  <si>
    <t>Fuel consumption factor (for woody + herbaceous bimoass calculation)</t>
  </si>
  <si>
    <t>g N2O per metric ton dry matter burned</t>
  </si>
  <si>
    <t>Emission factor (N2O)</t>
  </si>
  <si>
    <t>g CH4 per metric ton dry matter burned</t>
  </si>
  <si>
    <t>Emission factor (CH4)</t>
  </si>
  <si>
    <t>See text for derivation from data in NGHGI (2018)</t>
  </si>
  <si>
    <t>ha</t>
  </si>
  <si>
    <t>Woodland area burned</t>
  </si>
  <si>
    <t>Data source</t>
  </si>
  <si>
    <t>Units</t>
  </si>
  <si>
    <t>Factor</t>
  </si>
  <si>
    <t>Input data</t>
  </si>
  <si>
    <t>Soil C stock change (veg remaining veg)</t>
  </si>
  <si>
    <t>Soil C stock change (veg to unveg)</t>
  </si>
  <si>
    <t>Soil C stock change (unveg to veg)</t>
  </si>
  <si>
    <t>Soil C stock change (land converted to wetland)</t>
  </si>
  <si>
    <t>Aboveground biomass C stock change (veg remaining veg)</t>
  </si>
  <si>
    <t>Aboveground biomass C stock change (veg to unveg)</t>
  </si>
  <si>
    <t>Aboveground biomass C stock change (unveg to veg)</t>
  </si>
  <si>
    <t>Aboveground biomass C stock change (land converted to wetland)</t>
  </si>
  <si>
    <t>Soil CH4 (veg remaining veg)</t>
  </si>
  <si>
    <t>Soil CH4 (land converted to wetland)</t>
  </si>
  <si>
    <t>N2O from aquaculture</t>
  </si>
  <si>
    <t>Diff from total</t>
  </si>
  <si>
    <t>Aggregate by category</t>
  </si>
  <si>
    <t>Southern</t>
  </si>
  <si>
    <t>Interior</t>
  </si>
  <si>
    <t>Unmanaged (Ogle et al. 2018)</t>
  </si>
  <si>
    <t>Forests</t>
  </si>
  <si>
    <t>Wetlands</t>
  </si>
  <si>
    <t>Settlement</t>
  </si>
  <si>
    <t>Other</t>
  </si>
  <si>
    <t>Alaska omitted fluxes emissions factors</t>
  </si>
  <si>
    <t>Ag soil management, N2O from other N inputs</t>
  </si>
  <si>
    <t>Tier 1+3 other N inputs, direct N2O, croplands (Managed Manure, other organic,crop residue, mineralized SOM) (Table A-207, 208) (MMT CO2e)</t>
  </si>
  <si>
    <t>Percentage of total mineral N, cropland</t>
  </si>
  <si>
    <t>Tier 3 other N inputs, direct N2O, grasslands, Table A-208</t>
  </si>
  <si>
    <t>Percentage of total mineral N, grassland</t>
  </si>
  <si>
    <t>other N inputs, cropland, indirect, MMT CO2e, Table A-216</t>
  </si>
  <si>
    <t>other N inputs, grassland, indirect, MMT CO2e, Table A-216</t>
  </si>
  <si>
    <t>Total Tier 1+3 direct and indirect other N, MMT CO2e</t>
  </si>
  <si>
    <t>Tier 1+3 total mineral cropland and grassland (A-199)</t>
  </si>
  <si>
    <t>Emissions factor</t>
  </si>
  <si>
    <t>Alaska land area (all cropland and grassland minus organic soils assuming 15% of grasslands are organic, Mha)</t>
  </si>
  <si>
    <t>Emissions (MMT CO2e)</t>
  </si>
  <si>
    <t>Ag soil management, N2O from drained organic soils</t>
  </si>
  <si>
    <t>Area of drained organic soils (Mha, Table A-201)</t>
  </si>
  <si>
    <t>Direct N2O emissions from drainage of organic soils (table A-212, MMT CO2e)</t>
  </si>
  <si>
    <t>Emissions factor (MMT CO2e/Mha)</t>
  </si>
  <si>
    <t>Percent of total CONUS cropland/grassland area that is organic (Table A-199)</t>
  </si>
  <si>
    <t>Alaska land area (Alaska cropland+grassland times percentage organic soils, Mha)</t>
  </si>
  <si>
    <t>Cropland soil C stock change - drained organic soils</t>
  </si>
  <si>
    <t>Area of land, Mha</t>
  </si>
  <si>
    <t>Emissions from drainage of organic soils, cropland (MMT CO2e) (Table A-214)</t>
  </si>
  <si>
    <t>Total area of drained organic soil</t>
  </si>
  <si>
    <t>Cropland soil C stock change - mineral soils</t>
  </si>
  <si>
    <t>Emissions from soils C stock change, MMT CO2e, Table A-209</t>
  </si>
  <si>
    <t>Percent organic soils (Table A-199)</t>
  </si>
  <si>
    <t>Area of cropland mineral soils, Mha, Table 6-7</t>
  </si>
  <si>
    <t>Grassland fires, non-CO2</t>
  </si>
  <si>
    <t>AVERAGE</t>
  </si>
  <si>
    <t>Alaska managed forest area burned (1000 ha) Table A-233</t>
  </si>
  <si>
    <t>Total Alaska area burned (acres) - ADNR Fire Statistics</t>
  </si>
  <si>
    <t>Total forest area burned (managed burned area scaled up proportionally to total forest area, 1000 ha)</t>
  </si>
  <si>
    <t>Total Alaska area burned (1000 ha)</t>
  </si>
  <si>
    <t>Total Alaska grassland area burned (1000 ha), assuming all remaining burned area is grassland</t>
  </si>
  <si>
    <t>Alaska managed grassland burned (Mha)</t>
  </si>
  <si>
    <t>Fuel consumption factor, tons dry matter/ha</t>
  </si>
  <si>
    <t>Emission factor, g CH4/kg dry matter</t>
  </si>
  <si>
    <t>Emission factor, g N2O/kg dry matter</t>
  </si>
  <si>
    <t>Grassland dry matter burned, MMT</t>
  </si>
  <si>
    <t>MMT CH4</t>
  </si>
  <si>
    <t>MMT CO2e from CH4</t>
  </si>
  <si>
    <t>MMT N2O</t>
  </si>
  <si>
    <t>MMT CO2e from N2O</t>
  </si>
  <si>
    <t>Total CO2e</t>
  </si>
  <si>
    <t>Settlements, C, drained organic soils</t>
  </si>
  <si>
    <t>Alaska settlement area, Mha</t>
  </si>
  <si>
    <t>Total U.S. settlement area, Mha</t>
  </si>
  <si>
    <t>Total U.S. settlement area minus Alaska</t>
  </si>
  <si>
    <t>US settlement area on organic soils, Mha</t>
  </si>
  <si>
    <t>Percent settlement on organic soils</t>
  </si>
  <si>
    <t>Emissions, MMT CO2e</t>
  </si>
  <si>
    <t>Emissions factor, MMT CO2e/Mha</t>
  </si>
  <si>
    <t>Alaska settlement on organic soils, Mha</t>
  </si>
  <si>
    <t>Alaska emissions, MMT CO2e</t>
  </si>
  <si>
    <t>Settlements, N2O, drained organic soils</t>
  </si>
  <si>
    <t>Emissions, MMT CO2e (Table 6-77), includes direct and indirect due to drained organic soils</t>
  </si>
  <si>
    <t>Sum of omitted Alaska fluxes</t>
  </si>
  <si>
    <t>Million hectares</t>
  </si>
  <si>
    <t>Hawaii land area (all cropland, grassland area Mha)</t>
  </si>
  <si>
    <t>Forests C stock change - from Selmants et al. 2017</t>
  </si>
  <si>
    <t>TgC/yr</t>
  </si>
  <si>
    <t>Native dry forest</t>
  </si>
  <si>
    <t>Invaded dry forest</t>
  </si>
  <si>
    <t>Native mesic-wet forest</t>
  </si>
  <si>
    <t>Invaded mesic - wet forest</t>
  </si>
  <si>
    <t>Forest, Non-CO2 from fires (calculated from USGS assessment Selmants et al. 2017)</t>
  </si>
  <si>
    <t>tons dry matter/ha</t>
  </si>
  <si>
    <t>MMT/ha</t>
  </si>
  <si>
    <t>Dry Forest, C emissions, gC/m2 (low moisture) - Table 5.7</t>
  </si>
  <si>
    <t>Mesic Forest, C emissions, gC/m2 (low moisture) - Table 5.7</t>
  </si>
  <si>
    <t>Wet Forest, C emissions, gC/m2 (low moisture) Table 5.7</t>
  </si>
  <si>
    <t>Emission factor, C emissions, g CH4/kg dry matter, IPCC 2006</t>
  </si>
  <si>
    <t>Emission factor, g N2O/kg dry matter, IPCC 2006</t>
  </si>
  <si>
    <t>Burned area, ha</t>
  </si>
  <si>
    <t>Dry Forest</t>
  </si>
  <si>
    <t>Mesic Forest</t>
  </si>
  <si>
    <t>Wet Forest</t>
  </si>
  <si>
    <t>Emissions - CH4, MMT CO2e</t>
  </si>
  <si>
    <t>Emissions - N2O, MMT CO2e</t>
  </si>
  <si>
    <t>NGHGI 2019, managed</t>
  </si>
  <si>
    <t>Alaska Land Representation</t>
  </si>
  <si>
    <t>Managed, unmanaged factors</t>
  </si>
  <si>
    <t>Sum of omitted Hawaii fluxes</t>
  </si>
  <si>
    <t>NLCD 2001</t>
  </si>
  <si>
    <t>Hawaii Land Representation</t>
  </si>
  <si>
    <t>Direct N2O Settlement</t>
  </si>
  <si>
    <t>Indirect N2O Settlement</t>
  </si>
  <si>
    <t>NOTE: We quantify 2014 emissions because 2014 is the last year for which burned area was estimated for both NGHGI (2018) and NGHGI (2019).</t>
  </si>
  <si>
    <t>SWP data</t>
  </si>
  <si>
    <t>Paper data</t>
  </si>
  <si>
    <t>SWP conversion to carbon</t>
  </si>
  <si>
    <t>Paper conversion to carbon</t>
  </si>
  <si>
    <t>SWP discard rate</t>
  </si>
  <si>
    <t>Paper discard rate</t>
  </si>
  <si>
    <t>SWDS decay rate</t>
  </si>
  <si>
    <t>SWP decay limit</t>
  </si>
  <si>
    <t>Paper decay limit</t>
  </si>
  <si>
    <t>Carbon in housing in 2001</t>
  </si>
  <si>
    <t>Export carbon storage as fraction of storage rate for similar US products</t>
  </si>
  <si>
    <t>NGHGI (2019) - HWP 95% uncertainty range (MMT CO2e)</t>
  </si>
  <si>
    <t>Uncertainty elements from Skog et al. (2004) that are used in Skog (2008) estimation method</t>
  </si>
  <si>
    <t>Skog et al. (2004) attribution results</t>
  </si>
  <si>
    <t>Select Skog et al. (2004) results scaled to 100%</t>
  </si>
  <si>
    <t>Uncertainty elements from Skog (2008) not accounted for here</t>
  </si>
  <si>
    <t>Scale results to national level</t>
  </si>
  <si>
    <t>From NGHGI (2018)</t>
  </si>
  <si>
    <t>Parameter group number</t>
  </si>
  <si>
    <t>Volume coefficients</t>
  </si>
  <si>
    <t>Variable parameter (all others held to means)</t>
  </si>
  <si>
    <t>Wood &amp; bark specific gravities</t>
  </si>
  <si>
    <t>Bark as percentage of wood volume</t>
  </si>
  <si>
    <t>Stump volume coefficients</t>
  </si>
  <si>
    <t>Total aboveground biomass following Jenkins et al. (2003) diameter-based regression</t>
  </si>
  <si>
    <t>Biomass component ratio coefficients</t>
  </si>
  <si>
    <t>Sapling adjustment factors</t>
  </si>
  <si>
    <t>Density reduction factors</t>
  </si>
  <si>
    <t>Structural loss adjustment factors</t>
  </si>
  <si>
    <t>Uncertainty element</t>
  </si>
  <si>
    <t>Model parameters: Volume coefficients</t>
  </si>
  <si>
    <t>Model parameters: Wood &amp; bark specific gravities</t>
  </si>
  <si>
    <t>Model parameters: Bark as percentage of wood volume</t>
  </si>
  <si>
    <t>Model parameters: Stump volume coefficients</t>
  </si>
  <si>
    <t>Model parameters: Total aboveground biomass following Jenkins et al. (2003) diameter-based regression</t>
  </si>
  <si>
    <t>Model parameters: Biomass component ratio coefficients</t>
  </si>
  <si>
    <t>Model parameters: Sapling adjustment factors</t>
  </si>
  <si>
    <t>Model parameters: Density reduction factors</t>
  </si>
  <si>
    <t>Model parameters: Structural loss adjustment factors</t>
  </si>
  <si>
    <t>Sample error</t>
  </si>
  <si>
    <t>Percentage contribution to uncertainty</t>
  </si>
  <si>
    <t>Calculate percentage contribution to uncertainty for the nine modeling parameters and sample error - for eastern Texas</t>
  </si>
  <si>
    <t>Calculate uncertainty contributions (MMT CO2) for United States</t>
  </si>
  <si>
    <t>Aboveground biomass</t>
  </si>
  <si>
    <t>Belowground biomass</t>
  </si>
  <si>
    <t>Dead wood</t>
  </si>
  <si>
    <t>2.5th percentile (MMT CO2)</t>
  </si>
  <si>
    <t>97.5th percentile (MMT CO2)</t>
  </si>
  <si>
    <t>Data for 2016</t>
  </si>
  <si>
    <t>Total (model + sample) relative error (%)</t>
  </si>
  <si>
    <t>Calculate 95% confidence interval for United States</t>
  </si>
  <si>
    <t xml:space="preserve">For United States </t>
  </si>
  <si>
    <t>Range of 95% confidence interval</t>
  </si>
  <si>
    <t>Error (one-way, absolute value, MMT CO2)</t>
  </si>
  <si>
    <t>Sum for these pools</t>
  </si>
  <si>
    <t>Model variance [(MMT CO2)^2]</t>
  </si>
  <si>
    <t>Sample variance [(MMT CO2)^2]</t>
  </si>
  <si>
    <t>Total variance [(MMT CO2)^2]</t>
  </si>
  <si>
    <t>Mean biomass stock change (MMT CO2)</t>
  </si>
  <si>
    <t>2.5th percentile</t>
  </si>
  <si>
    <t>97.5th percentile</t>
  </si>
  <si>
    <t>Negative value indicates sequestration</t>
  </si>
  <si>
    <t>Percentage error = 100 x [0.5 x range of 95% confidence interval] / mean flux</t>
  </si>
  <si>
    <t>Variance [(MMT CO2)^2]</t>
  </si>
  <si>
    <t>Covariance of carbon stocks for the two time points (1-year time step) assigned as 0.999 x magnitude of the carbon stock variance</t>
  </si>
  <si>
    <t>Output from Monte Carlo simulation - for eastern Texas</t>
  </si>
  <si>
    <t>Mean litter C stock change (MMT CO2)</t>
  </si>
  <si>
    <t>Model-based variance [MMT CO2]^2</t>
  </si>
  <si>
    <t>Lower bound (MMT CO2)</t>
  </si>
  <si>
    <t>Upper bound (MMT CO2)</t>
  </si>
  <si>
    <t>Mean litter C stock change for FRF for United States for 2016 (MMT CO2)</t>
  </si>
  <si>
    <t>Litter contribution to uncertainty (MMT CO2)</t>
  </si>
  <si>
    <t>10,000 iterations</t>
  </si>
  <si>
    <t>50,000 iterations</t>
  </si>
  <si>
    <t>Mean soil C stock change (MMT CO2)</t>
  </si>
  <si>
    <t>Mean soil C stock change for FRF for United States for 2016 (MMT CO2)</t>
  </si>
  <si>
    <t>Soil contribution to uncertainty (MMT CO2)</t>
  </si>
  <si>
    <t>Lower bound (2.5th percentile)</t>
  </si>
  <si>
    <t>Upper bound (97.5th percentile)</t>
  </si>
  <si>
    <t>Output &amp; analysis from Monte Carlo simulation - for eastern Texas</t>
  </si>
  <si>
    <t>Relative error (lower bound, %)</t>
  </si>
  <si>
    <t>Relative error (upper bound, %)</t>
  </si>
  <si>
    <t>Error (upper, MMT CO2)</t>
  </si>
  <si>
    <t>Error (lower, MMT CO2)</t>
  </si>
  <si>
    <t>Fractions of solid wood and paper from imports</t>
  </si>
  <si>
    <t>Uncertainty contributions (MMT CO2e), calculated as scaled Skog et al. (2004) uncertainty contribution (%) multiplied by NGHGI (2019) uncertainty range (MMT CO2e)</t>
  </si>
  <si>
    <t>Output &amp; analysis from Monte Carlo simulation</t>
  </si>
  <si>
    <t>Increase rate in production and trade, 1900 to 1961</t>
  </si>
  <si>
    <t>Fraction solidwood to anaerobic decay</t>
  </si>
  <si>
    <t>Fraction paper to anaerobic decay</t>
  </si>
  <si>
    <t>Uncertainty elements from Skog et al. (2004) not included in Skog (2008) methods</t>
  </si>
  <si>
    <r>
      <t>Range of 95% confidence interval (MMT CO</t>
    </r>
    <r>
      <rPr>
        <b/>
        <vertAlign val="subscript"/>
        <sz val="9"/>
        <color rgb="FF000000"/>
        <rFont val="Calibri (Body)"/>
      </rPr>
      <t>2</t>
    </r>
    <r>
      <rPr>
        <b/>
        <sz val="9"/>
        <color rgb="FF000000"/>
        <rFont val="Calibri (Body)"/>
      </rPr>
      <t>e)</t>
    </r>
  </si>
  <si>
    <r>
      <t>Direct N</t>
    </r>
    <r>
      <rPr>
        <b/>
        <vertAlign val="subscript"/>
        <sz val="9"/>
        <color theme="1"/>
        <rFont val="Calibri (Body)"/>
      </rPr>
      <t>2</t>
    </r>
    <r>
      <rPr>
        <b/>
        <sz val="9"/>
        <color theme="1"/>
        <rFont val="Calibri (Body)"/>
      </rPr>
      <t>O Fluxes</t>
    </r>
  </si>
  <si>
    <r>
      <t>Indirect N</t>
    </r>
    <r>
      <rPr>
        <b/>
        <vertAlign val="subscript"/>
        <sz val="9"/>
        <color theme="1"/>
        <rFont val="Calibri (Body)"/>
      </rPr>
      <t>2</t>
    </r>
    <r>
      <rPr>
        <b/>
        <sz val="9"/>
        <color theme="1"/>
        <rFont val="Calibri (Body)"/>
      </rPr>
      <t>O Fluxes</t>
    </r>
  </si>
  <si>
    <r>
      <t>Range of 95% confidence interval (MMT CO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 (Body)"/>
      </rPr>
      <t>e)</t>
    </r>
  </si>
  <si>
    <r>
      <t>Direct N</t>
    </r>
    <r>
      <rPr>
        <b/>
        <vertAlign val="subscript"/>
        <sz val="11"/>
        <color theme="1"/>
        <rFont val="Calibri (Body)"/>
      </rPr>
      <t>2</t>
    </r>
    <r>
      <rPr>
        <b/>
        <sz val="11"/>
        <color theme="1"/>
        <rFont val="Calibri (Body)"/>
      </rPr>
      <t>O Fluxes</t>
    </r>
  </si>
  <si>
    <r>
      <t>Indirect N</t>
    </r>
    <r>
      <rPr>
        <b/>
        <vertAlign val="subscript"/>
        <sz val="11"/>
        <color theme="1"/>
        <rFont val="Calibri (Body)"/>
      </rPr>
      <t>2</t>
    </r>
    <r>
      <rPr>
        <b/>
        <sz val="11"/>
        <color theme="1"/>
        <rFont val="Calibri (Body)"/>
      </rPr>
      <t>O Fluxes</t>
    </r>
  </si>
  <si>
    <t>Estimated uncertainty (fraction)</t>
  </si>
  <si>
    <t>Normalized (fraction)</t>
  </si>
  <si>
    <t>metric tons CH4 emitted</t>
  </si>
  <si>
    <t>metric tons N2O emitted</t>
  </si>
  <si>
    <t>Forest Total</t>
  </si>
  <si>
    <t>Range of 95% Interval</t>
  </si>
  <si>
    <t>Estimate (tons CO2e sequestered)</t>
  </si>
  <si>
    <t>Contribution to uncertainty (%), scaled</t>
  </si>
  <si>
    <t>scaling factor</t>
  </si>
  <si>
    <t>Difference in 95% CI range</t>
  </si>
  <si>
    <t>Direct N2O Fluxes from Soils</t>
  </si>
  <si>
    <t>Indirect N2O Fluxes from Soils</t>
  </si>
  <si>
    <t>95% CI Range for Tier 3 Cropland/Grassland calculations</t>
  </si>
  <si>
    <t>Output &amp; analysis of Monte Carlo simulation (n=10,000) where all parameters vary - for eastern Texas</t>
  </si>
  <si>
    <t>Output &amp; analysis of Monte Carlo simulations (n=10,000) where only one parameter group varies - for eastern Texas</t>
  </si>
  <si>
    <t>NGHGI (2018) Table 6-10: Net CO2 Flux from Forest Carbon Pools in FRF (MMT CO2e)</t>
  </si>
  <si>
    <t>Assuming federal grassland has equivalent percentage organic soil as non-federal grassland</t>
  </si>
  <si>
    <t>Percent of model variance (%)</t>
  </si>
  <si>
    <t>Range difference</t>
  </si>
  <si>
    <t>Contribution Index Results</t>
  </si>
  <si>
    <t>Total land area (ha)</t>
  </si>
  <si>
    <t>Land area (ha)</t>
  </si>
  <si>
    <t>None</t>
  </si>
  <si>
    <t>95% Confidence Interval</t>
  </si>
  <si>
    <t>Lower Bound (MMT C)</t>
  </si>
  <si>
    <t>Upper Bound (MMT C)</t>
  </si>
  <si>
    <t>Range of 95% Confidence Interval</t>
  </si>
  <si>
    <t>Lower Bound (MMT CO2e)</t>
  </si>
  <si>
    <t>Upper Bound (MMT CO2e)</t>
  </si>
  <si>
    <t xml:space="preserve">Reducing climate policy risk: </t>
  </si>
  <si>
    <t>Improving certainty and accuracy in the U.S. land use, land use change, and forestry greenhouse gas inventory</t>
  </si>
  <si>
    <t>Spreadsheet Appendix</t>
  </si>
  <si>
    <t>September 2019</t>
  </si>
  <si>
    <t>Tables and other information contained in the Spreadsheet Appendix can be found in the order they are presented in the Technical Appendix.</t>
  </si>
  <si>
    <t>Table of Contents - Table numbers refer to the Technical Appendix</t>
  </si>
  <si>
    <t>Alaska, Hawaii, U.S. Territories</t>
  </si>
  <si>
    <t>Croplands and Grasslands</t>
  </si>
  <si>
    <t>Settlements</t>
  </si>
  <si>
    <t>Contribution to uncertainty for forest litter carbon stock change</t>
  </si>
  <si>
    <t>Contribution to uncertainty for forest soil carbon stock change</t>
  </si>
  <si>
    <t>Table T-9: Contributions to uncertainty for non-CO2 emissions from forest fires</t>
  </si>
  <si>
    <t>Table T-10: Contributions to uncertainty for harvested wood products in use and in waste disposal sites</t>
  </si>
  <si>
    <t>Table T-11: Contributions to uncertainty for N2O fluxes from N additions to forest soils</t>
  </si>
  <si>
    <t>Table T-12: Contributions to uncertainty for CO2, CH4, and N2O from drained organic forest soils</t>
  </si>
  <si>
    <t>Table T-19: Contributions to uncertainty for Tier 1, 2 cropland and grassland soils</t>
  </si>
  <si>
    <t>Table T-31: Contributions to uncertainty for urban tree carbon stock change</t>
  </si>
  <si>
    <t>Table T-34: Contributions to uncertainty for yard trimmings and food scraps carbon stock change</t>
  </si>
  <si>
    <t>Table T-35: Contributions to uncertainty for N2O emissions from settlement soils</t>
  </si>
  <si>
    <t>Table T-2: Contributions to uncertainty for aboveground, belowground, and standing dead biomass</t>
  </si>
  <si>
    <t>Table T-36: Contribution to uncertainty for drained organic settlement soils</t>
  </si>
  <si>
    <t>Table T-39: Contributions to uncertainty for coastal wetlands CO2 and CH4 emissions</t>
  </si>
  <si>
    <t>Table T-14: Contributions to uncertainty for Tier 3 cropland and grassland soils</t>
  </si>
  <si>
    <t>Table T-27: Omitted GHG flux estimate for non-CO2 emissions from woody biomass in grassland fires</t>
  </si>
  <si>
    <t>Omitted GHG flux estimate for N2O from federal cropland and grassland (minus PRP)</t>
  </si>
  <si>
    <t>Table T-28: Omitted GHG flux estimate for soil microbial methane sink</t>
  </si>
  <si>
    <t>Omitted GHG flux estimate for urban mineral soil carbon stock change</t>
  </si>
  <si>
    <t>Table T-42: Omitted GHG flux estimates for Alaska</t>
  </si>
  <si>
    <t>Table T-43: Omitted GHG flux estimates for Hawaii</t>
  </si>
  <si>
    <t>Table T-21: Contributions to uncertainty for non-CO2 emissions from grassland fires</t>
  </si>
  <si>
    <t>Table T-22: Contributions to uncertainty for drained organic cropland and grassland soils</t>
  </si>
  <si>
    <t>Table T-25: Omitted GHG flux estimate for agroforestry carbon stock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</si>
</sst>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_(* #,##0_);_(* \(#,##0\);_(* &quot;-&quot;??_);_(@_)"/>
    <numFmt numFmtId="167" formatCode="0.0%"/>
    <numFmt numFmtId="168" formatCode="0.000"/>
    <numFmt numFmtId="169" formatCode="_(* #,##0.0_);_(* \(#,##0.0\);_(* &quot;-&quot;?_);_(@_)"/>
    <numFmt numFmtId="170" formatCode="0.000000"/>
    <numFmt numFmtId="171" formatCode="#,##0.000_);\(#,##0.000\)"/>
    <numFmt numFmtId="172" formatCode="#,##0.0_);\(#,##0.0\)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 (Body)"/>
    </font>
    <font>
      <sz val="11"/>
      <color theme="1"/>
      <name val="Calibri (Body)"/>
    </font>
    <font>
      <sz val="11"/>
      <color rgb="FF000000"/>
      <name val="Calibri (Body)"/>
    </font>
    <font>
      <b/>
      <sz val="11"/>
      <color rgb="FF000000"/>
      <name val="Calibri (Body)"/>
    </font>
    <font>
      <i/>
      <sz val="11"/>
      <color theme="1"/>
      <name val="Calibri (Body)"/>
    </font>
    <font>
      <sz val="11"/>
      <name val="Calibri (Body)"/>
    </font>
    <font>
      <sz val="11"/>
      <color rgb="FFFF0000"/>
      <name val="Calibri (Body)"/>
    </font>
    <font>
      <b/>
      <sz val="10"/>
      <color theme="1"/>
      <name val="Calibri (Body)"/>
    </font>
    <font>
      <b/>
      <sz val="11"/>
      <name val="Calibri (Body)"/>
    </font>
    <font>
      <b/>
      <vertAlign val="subscript"/>
      <sz val="9"/>
      <color rgb="FF000000"/>
      <name val="Calibri (Body)"/>
    </font>
    <font>
      <b/>
      <sz val="9"/>
      <color rgb="FF000000"/>
      <name val="Calibri (Body)"/>
    </font>
    <font>
      <b/>
      <vertAlign val="subscript"/>
      <sz val="9"/>
      <color theme="1"/>
      <name val="Calibri (Body)"/>
    </font>
    <font>
      <b/>
      <sz val="9"/>
      <color theme="1"/>
      <name val="Calibri (Body)"/>
    </font>
    <font>
      <b/>
      <vertAlign val="subscript"/>
      <sz val="11"/>
      <color rgb="FF000000"/>
      <name val="Calibri (Body)"/>
    </font>
    <font>
      <b/>
      <vertAlign val="subscript"/>
      <sz val="11"/>
      <color theme="1"/>
      <name val="Calibri (Body)"/>
    </font>
    <font>
      <i/>
      <sz val="9"/>
      <color theme="1"/>
      <name val="Calibri (Body)"/>
    </font>
    <font>
      <sz val="11"/>
      <color theme="4"/>
      <name val="Calibri (Body)"/>
    </font>
    <font>
      <b/>
      <u/>
      <sz val="11"/>
      <color theme="1"/>
      <name val="Calibri (Body)"/>
    </font>
    <font>
      <b/>
      <sz val="25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name val="Calibri (Body)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297">
    <xf numFmtId="0" fontId="0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52">
    <xf numFmtId="0" fontId="0" fillId="0" borderId="0" xfId="0"/>
    <xf numFmtId="0" fontId="4" fillId="0" borderId="0" xfId="0" applyFont="1"/>
    <xf numFmtId="0" fontId="4" fillId="0" borderId="2" xfId="0" applyFont="1" applyBorder="1"/>
    <xf numFmtId="0" fontId="2" fillId="0" borderId="1" xfId="0" applyFont="1" applyBorder="1"/>
    <xf numFmtId="0" fontId="2" fillId="0" borderId="0" xfId="0" applyFont="1"/>
    <xf numFmtId="0" fontId="5" fillId="0" borderId="0" xfId="0" applyFont="1"/>
    <xf numFmtId="0" fontId="2" fillId="0" borderId="8" xfId="0" applyFont="1" applyBorder="1"/>
    <xf numFmtId="3" fontId="2" fillId="0" borderId="0" xfId="0" applyNumberFormat="1" applyFont="1"/>
    <xf numFmtId="3" fontId="5" fillId="0" borderId="0" xfId="0" applyNumberFormat="1" applyFont="1"/>
    <xf numFmtId="3" fontId="2" fillId="0" borderId="8" xfId="0" applyNumberFormat="1" applyFont="1" applyBorder="1"/>
    <xf numFmtId="3" fontId="2" fillId="0" borderId="1" xfId="0" applyNumberFormat="1" applyFont="1" applyBorder="1"/>
    <xf numFmtId="0" fontId="2" fillId="0" borderId="11" xfId="0" applyFont="1" applyBorder="1"/>
    <xf numFmtId="1" fontId="2" fillId="0" borderId="1" xfId="0" applyNumberFormat="1" applyFont="1" applyBorder="1"/>
    <xf numFmtId="1" fontId="2" fillId="0" borderId="0" xfId="0" applyNumberFormat="1" applyFont="1"/>
    <xf numFmtId="3" fontId="4" fillId="0" borderId="0" xfId="0" applyNumberFormat="1" applyFont="1"/>
    <xf numFmtId="4" fontId="4" fillId="0" borderId="0" xfId="0" applyNumberFormat="1" applyFont="1"/>
    <xf numFmtId="2" fontId="2" fillId="0" borderId="8" xfId="0" applyNumberFormat="1" applyFont="1" applyBorder="1"/>
    <xf numFmtId="4" fontId="2" fillId="0" borderId="11" xfId="0" applyNumberFormat="1" applyFont="1" applyBorder="1"/>
    <xf numFmtId="3" fontId="2" fillId="2" borderId="3" xfId="0" applyNumberFormat="1" applyFont="1" applyFill="1" applyBorder="1"/>
    <xf numFmtId="3" fontId="2" fillId="2" borderId="4" xfId="0" applyNumberFormat="1" applyFont="1" applyFill="1" applyBorder="1"/>
    <xf numFmtId="3" fontId="2" fillId="2" borderId="2" xfId="0" applyNumberFormat="1" applyFont="1" applyFill="1" applyBorder="1"/>
    <xf numFmtId="3" fontId="0" fillId="0" borderId="0" xfId="0" applyNumberFormat="1" applyFont="1"/>
    <xf numFmtId="3" fontId="0" fillId="0" borderId="2" xfId="0" applyNumberFormat="1" applyFont="1" applyBorder="1"/>
    <xf numFmtId="4" fontId="0" fillId="0" borderId="0" xfId="0" applyNumberFormat="1" applyFont="1"/>
    <xf numFmtId="0" fontId="0" fillId="0" borderId="0" xfId="0" applyFont="1"/>
    <xf numFmtId="0" fontId="0" fillId="0" borderId="2" xfId="0" applyFont="1" applyBorder="1"/>
    <xf numFmtId="3" fontId="0" fillId="0" borderId="12" xfId="0" applyNumberFormat="1" applyFont="1" applyBorder="1"/>
    <xf numFmtId="2" fontId="0" fillId="0" borderId="12" xfId="0" applyNumberFormat="1" applyFont="1" applyBorder="1"/>
    <xf numFmtId="0" fontId="0" fillId="0" borderId="3" xfId="0" applyFont="1" applyBorder="1"/>
    <xf numFmtId="3" fontId="0" fillId="0" borderId="4" xfId="0" applyNumberFormat="1" applyFont="1" applyBorder="1"/>
    <xf numFmtId="3" fontId="0" fillId="0" borderId="13" xfId="0" applyNumberFormat="1" applyFont="1" applyBorder="1"/>
    <xf numFmtId="2" fontId="0" fillId="0" borderId="13" xfId="0" applyNumberFormat="1" applyFont="1" applyBorder="1"/>
    <xf numFmtId="2" fontId="0" fillId="0" borderId="0" xfId="0" applyNumberFormat="1" applyFont="1"/>
    <xf numFmtId="1" fontId="0" fillId="0" borderId="8" xfId="0" applyNumberFormat="1" applyFont="1" applyBorder="1"/>
    <xf numFmtId="3" fontId="0" fillId="0" borderId="3" xfId="0" applyNumberFormat="1" applyFont="1" applyBorder="1"/>
    <xf numFmtId="2" fontId="0" fillId="0" borderId="2" xfId="0" applyNumberFormat="1" applyFont="1" applyBorder="1"/>
    <xf numFmtId="4" fontId="0" fillId="0" borderId="12" xfId="0" applyNumberFormat="1" applyFont="1" applyBorder="1"/>
    <xf numFmtId="2" fontId="0" fillId="0" borderId="8" xfId="0" applyNumberFormat="1" applyFont="1" applyBorder="1"/>
    <xf numFmtId="2" fontId="0" fillId="0" borderId="1" xfId="0" applyNumberFormat="1" applyFont="1" applyBorder="1"/>
    <xf numFmtId="4" fontId="0" fillId="0" borderId="11" xfId="0" applyNumberFormat="1" applyFont="1" applyBorder="1"/>
    <xf numFmtId="3" fontId="0" fillId="3" borderId="0" xfId="0" applyNumberFormat="1" applyFont="1" applyFill="1"/>
    <xf numFmtId="3" fontId="0" fillId="0" borderId="1" xfId="0" applyNumberFormat="1" applyFont="1" applyBorder="1"/>
    <xf numFmtId="3" fontId="0" fillId="3" borderId="1" xfId="0" applyNumberFormat="1" applyFont="1" applyFill="1" applyBorder="1"/>
    <xf numFmtId="3" fontId="0" fillId="0" borderId="8" xfId="0" applyNumberFormat="1" applyFont="1" applyBorder="1"/>
    <xf numFmtId="3" fontId="0" fillId="2" borderId="0" xfId="0" applyNumberFormat="1" applyFont="1" applyFill="1"/>
    <xf numFmtId="0" fontId="10" fillId="0" borderId="19" xfId="0" applyFont="1" applyBorder="1"/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1" applyFont="1"/>
    <xf numFmtId="0" fontId="10" fillId="0" borderId="0" xfId="0" applyFont="1"/>
    <xf numFmtId="0" fontId="10" fillId="0" borderId="0" xfId="0" applyFont="1" applyAlignment="1">
      <alignment wrapText="1"/>
    </xf>
    <xf numFmtId="0" fontId="12" fillId="0" borderId="0" xfId="0" applyFont="1"/>
    <xf numFmtId="0" fontId="11" fillId="0" borderId="19" xfId="0" applyFont="1" applyBorder="1"/>
    <xf numFmtId="0" fontId="13" fillId="0" borderId="19" xfId="0" applyFont="1" applyBorder="1"/>
    <xf numFmtId="0" fontId="12" fillId="0" borderId="19" xfId="0" applyFont="1" applyBorder="1"/>
    <xf numFmtId="165" fontId="11" fillId="0" borderId="0" xfId="0" applyNumberFormat="1" applyFont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11" fillId="0" borderId="0" xfId="0" applyFont="1" applyFill="1" applyAlignment="1">
      <alignment wrapText="1"/>
    </xf>
    <xf numFmtId="0" fontId="10" fillId="0" borderId="0" xfId="0" applyFont="1" applyFill="1" applyBorder="1"/>
    <xf numFmtId="0" fontId="10" fillId="0" borderId="19" xfId="0" applyFont="1" applyFill="1" applyBorder="1"/>
    <xf numFmtId="0" fontId="13" fillId="0" borderId="19" xfId="0" applyFont="1" applyFill="1" applyBorder="1"/>
    <xf numFmtId="0" fontId="12" fillId="0" borderId="19" xfId="0" applyFont="1" applyFill="1" applyBorder="1"/>
    <xf numFmtId="0" fontId="12" fillId="0" borderId="0" xfId="0" applyFont="1" applyFill="1" applyAlignment="1"/>
    <xf numFmtId="0" fontId="11" fillId="0" borderId="0" xfId="0" applyFont="1" applyFill="1" applyBorder="1"/>
    <xf numFmtId="0" fontId="12" fillId="0" borderId="0" xfId="0" applyFont="1" applyAlignment="1"/>
    <xf numFmtId="0" fontId="10" fillId="0" borderId="0" xfId="1" applyFont="1" applyBorder="1"/>
    <xf numFmtId="0" fontId="10" fillId="0" borderId="0" xfId="1" applyFont="1"/>
    <xf numFmtId="0" fontId="11" fillId="0" borderId="0" xfId="1" applyFont="1" applyAlignment="1">
      <alignment wrapText="1"/>
    </xf>
    <xf numFmtId="0" fontId="11" fillId="0" borderId="0" xfId="1" applyFont="1" applyBorder="1"/>
    <xf numFmtId="0" fontId="10" fillId="0" borderId="0" xfId="1" applyFont="1" applyBorder="1" applyAlignment="1">
      <alignment horizontal="center" wrapText="1"/>
    </xf>
    <xf numFmtId="0" fontId="10" fillId="0" borderId="0" xfId="1" applyFont="1" applyBorder="1" applyAlignment="1">
      <alignment wrapText="1"/>
    </xf>
    <xf numFmtId="165" fontId="11" fillId="0" borderId="0" xfId="1" applyNumberFormat="1" applyFont="1" applyBorder="1"/>
    <xf numFmtId="0" fontId="10" fillId="2" borderId="0" xfId="1" applyFont="1" applyFill="1" applyBorder="1"/>
    <xf numFmtId="165" fontId="10" fillId="2" borderId="0" xfId="1" applyNumberFormat="1" applyFont="1" applyFill="1" applyBorder="1"/>
    <xf numFmtId="0" fontId="14" fillId="0" borderId="0" xfId="1" applyFont="1"/>
    <xf numFmtId="2" fontId="14" fillId="0" borderId="0" xfId="1" applyNumberFormat="1" applyFont="1"/>
    <xf numFmtId="0" fontId="15" fillId="0" borderId="0" xfId="1" applyFont="1" applyFill="1"/>
    <xf numFmtId="0" fontId="16" fillId="0" borderId="0" xfId="1" applyFont="1" applyFill="1"/>
    <xf numFmtId="0" fontId="11" fillId="0" borderId="0" xfId="1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/>
    <xf numFmtId="165" fontId="11" fillId="0" borderId="0" xfId="0" applyNumberFormat="1" applyFont="1" applyBorder="1"/>
    <xf numFmtId="0" fontId="10" fillId="2" borderId="0" xfId="0" applyFont="1" applyFill="1" applyBorder="1"/>
    <xf numFmtId="165" fontId="10" fillId="2" borderId="0" xfId="0" applyNumberFormat="1" applyFont="1" applyFill="1" applyBorder="1"/>
    <xf numFmtId="2" fontId="18" fillId="0" borderId="0" xfId="1" applyNumberFormat="1" applyFont="1" applyFill="1"/>
    <xf numFmtId="0" fontId="18" fillId="0" borderId="8" xfId="1" applyFont="1" applyBorder="1"/>
    <xf numFmtId="2" fontId="11" fillId="0" borderId="0" xfId="0" applyNumberFormat="1" applyFont="1"/>
    <xf numFmtId="0" fontId="11" fillId="0" borderId="0" xfId="0" applyFont="1" applyAlignment="1">
      <alignment horizontal="right"/>
    </xf>
    <xf numFmtId="43" fontId="11" fillId="0" borderId="0" xfId="8" applyNumberFormat="1" applyFont="1"/>
    <xf numFmtId="0" fontId="18" fillId="0" borderId="0" xfId="1" applyFont="1" applyBorder="1"/>
    <xf numFmtId="0" fontId="18" fillId="0" borderId="0" xfId="1" applyFont="1" applyBorder="1" applyAlignment="1">
      <alignment horizontal="center" wrapText="1"/>
    </xf>
    <xf numFmtId="0" fontId="18" fillId="0" borderId="0" xfId="1" applyFont="1" applyBorder="1" applyAlignment="1">
      <alignment wrapText="1"/>
    </xf>
    <xf numFmtId="0" fontId="11" fillId="0" borderId="0" xfId="0" applyFont="1" applyBorder="1"/>
    <xf numFmtId="2" fontId="11" fillId="0" borderId="0" xfId="0" applyNumberFormat="1" applyFont="1" applyBorder="1"/>
    <xf numFmtId="0" fontId="11" fillId="0" borderId="0" xfId="0" applyFont="1" applyFill="1" applyBorder="1" applyAlignment="1">
      <alignment wrapText="1"/>
    </xf>
    <xf numFmtId="0" fontId="11" fillId="0" borderId="0" xfId="0" applyFont="1" applyBorder="1" applyAlignment="1">
      <alignment horizontal="right"/>
    </xf>
    <xf numFmtId="43" fontId="11" fillId="0" borderId="0" xfId="8" applyNumberFormat="1" applyFont="1" applyBorder="1"/>
    <xf numFmtId="43" fontId="11" fillId="0" borderId="0" xfId="0" applyNumberFormat="1" applyFont="1" applyFill="1" applyBorder="1"/>
    <xf numFmtId="37" fontId="11" fillId="0" borderId="0" xfId="8" applyNumberFormat="1" applyFont="1" applyFill="1" applyBorder="1"/>
    <xf numFmtId="43" fontId="11" fillId="0" borderId="0" xfId="8" applyNumberFormat="1" applyFont="1" applyFill="1" applyBorder="1"/>
    <xf numFmtId="170" fontId="11" fillId="0" borderId="0" xfId="0" applyNumberFormat="1" applyFont="1" applyBorder="1"/>
    <xf numFmtId="2" fontId="11" fillId="0" borderId="0" xfId="0" applyNumberFormat="1" applyFont="1" applyFill="1" applyBorder="1"/>
    <xf numFmtId="168" fontId="11" fillId="0" borderId="0" xfId="0" applyNumberFormat="1" applyFont="1"/>
    <xf numFmtId="0" fontId="18" fillId="2" borderId="3" xfId="1" applyFont="1" applyFill="1" applyBorder="1"/>
    <xf numFmtId="0" fontId="18" fillId="2" borderId="15" xfId="1" applyFont="1" applyFill="1" applyBorder="1"/>
    <xf numFmtId="2" fontId="18" fillId="2" borderId="3" xfId="1" applyNumberFormat="1" applyFont="1" applyFill="1" applyBorder="1"/>
    <xf numFmtId="168" fontId="11" fillId="0" borderId="0" xfId="0" applyNumberFormat="1" applyFont="1" applyBorder="1"/>
    <xf numFmtId="2" fontId="11" fillId="0" borderId="0" xfId="9" applyNumberFormat="1" applyFont="1" applyBorder="1"/>
    <xf numFmtId="0" fontId="18" fillId="2" borderId="0" xfId="1" applyFont="1" applyFill="1" applyBorder="1"/>
    <xf numFmtId="2" fontId="18" fillId="2" borderId="0" xfId="1" applyNumberFormat="1" applyFont="1" applyFill="1" applyBorder="1"/>
    <xf numFmtId="2" fontId="18" fillId="0" borderId="19" xfId="1" applyNumberFormat="1" applyFont="1" applyFill="1" applyBorder="1"/>
    <xf numFmtId="0" fontId="1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2" fillId="2" borderId="0" xfId="0" applyFont="1" applyFill="1" applyBorder="1"/>
    <xf numFmtId="2" fontId="2" fillId="2" borderId="0" xfId="0" applyNumberFormat="1" applyFont="1" applyFill="1" applyBorder="1"/>
    <xf numFmtId="0" fontId="4" fillId="0" borderId="0" xfId="0" applyFont="1" applyBorder="1"/>
    <xf numFmtId="2" fontId="4" fillId="0" borderId="0" xfId="0" applyNumberFormat="1" applyFont="1" applyBorder="1"/>
    <xf numFmtId="0" fontId="0" fillId="0" borderId="0" xfId="0" applyFont="1" applyBorder="1"/>
    <xf numFmtId="0" fontId="10" fillId="7" borderId="0" xfId="0" applyFont="1" applyFill="1" applyBorder="1"/>
    <xf numFmtId="165" fontId="10" fillId="7" borderId="0" xfId="0" applyNumberFormat="1" applyFont="1" applyFill="1" applyBorder="1"/>
    <xf numFmtId="0" fontId="10" fillId="7" borderId="0" xfId="1" applyFont="1" applyFill="1" applyBorder="1"/>
    <xf numFmtId="2" fontId="11" fillId="0" borderId="0" xfId="1" applyNumberFormat="1" applyFont="1" applyBorder="1"/>
    <xf numFmtId="0" fontId="14" fillId="0" borderId="0" xfId="1" applyFont="1" applyBorder="1"/>
    <xf numFmtId="0" fontId="10" fillId="0" borderId="0" xfId="1" applyFont="1" applyFill="1" applyBorder="1"/>
    <xf numFmtId="2" fontId="10" fillId="0" borderId="0" xfId="1" applyNumberFormat="1" applyFont="1" applyFill="1" applyBorder="1"/>
    <xf numFmtId="2" fontId="14" fillId="0" borderId="0" xfId="1" applyNumberFormat="1" applyFont="1" applyBorder="1"/>
    <xf numFmtId="0" fontId="15" fillId="0" borderId="0" xfId="1" applyFont="1" applyFill="1" applyBorder="1"/>
    <xf numFmtId="0" fontId="16" fillId="0" borderId="0" xfId="1" applyFont="1" applyFill="1" applyBorder="1"/>
    <xf numFmtId="43" fontId="11" fillId="0" borderId="0" xfId="0" applyNumberFormat="1" applyFont="1" applyBorder="1"/>
    <xf numFmtId="171" fontId="11" fillId="0" borderId="0" xfId="8" applyNumberFormat="1" applyFont="1" applyBorder="1"/>
    <xf numFmtId="0" fontId="10" fillId="0" borderId="0" xfId="1" applyFont="1" applyAlignment="1">
      <alignment wrapText="1"/>
    </xf>
    <xf numFmtId="3" fontId="11" fillId="0" borderId="0" xfId="1" applyNumberFormat="1" applyFont="1" applyAlignment="1">
      <alignment wrapText="1"/>
    </xf>
    <xf numFmtId="0" fontId="10" fillId="0" borderId="19" xfId="1" applyFont="1" applyFill="1" applyBorder="1" applyAlignment="1">
      <alignment wrapText="1"/>
    </xf>
    <xf numFmtId="0" fontId="11" fillId="0" borderId="19" xfId="1" applyFont="1" applyFill="1" applyBorder="1"/>
    <xf numFmtId="0" fontId="10" fillId="0" borderId="19" xfId="1" applyFont="1" applyFill="1" applyBorder="1"/>
    <xf numFmtId="0" fontId="18" fillId="0" borderId="0" xfId="1" applyFont="1"/>
    <xf numFmtId="0" fontId="18" fillId="0" borderId="9" xfId="1" applyFont="1" applyBorder="1"/>
    <xf numFmtId="0" fontId="18" fillId="0" borderId="1" xfId="1" applyFont="1" applyBorder="1"/>
    <xf numFmtId="0" fontId="15" fillId="0" borderId="0" xfId="1" applyFont="1"/>
    <xf numFmtId="0" fontId="15" fillId="0" borderId="2" xfId="1" applyFont="1" applyBorder="1"/>
    <xf numFmtId="0" fontId="15" fillId="0" borderId="10" xfId="1" applyFont="1" applyBorder="1"/>
    <xf numFmtId="3" fontId="15" fillId="0" borderId="2" xfId="1" applyNumberFormat="1" applyFont="1" applyBorder="1"/>
    <xf numFmtId="2" fontId="15" fillId="0" borderId="2" xfId="1" applyNumberFormat="1" applyFont="1" applyBorder="1"/>
    <xf numFmtId="0" fontId="18" fillId="0" borderId="4" xfId="1" applyFont="1" applyBorder="1"/>
    <xf numFmtId="0" fontId="15" fillId="0" borderId="6" xfId="1" applyFont="1" applyBorder="1"/>
    <xf numFmtId="0" fontId="15" fillId="0" borderId="16" xfId="1" applyFont="1" applyBorder="1"/>
    <xf numFmtId="2" fontId="15" fillId="0" borderId="6" xfId="1" applyNumberFormat="1" applyFont="1" applyBorder="1"/>
    <xf numFmtId="0" fontId="15" fillId="0" borderId="7" xfId="1" applyFont="1" applyBorder="1"/>
    <xf numFmtId="0" fontId="18" fillId="2" borderId="17" xfId="1" applyFont="1" applyFill="1" applyBorder="1"/>
    <xf numFmtId="2" fontId="18" fillId="2" borderId="14" xfId="1" applyNumberFormat="1" applyFont="1" applyFill="1" applyBorder="1"/>
    <xf numFmtId="0" fontId="18" fillId="0" borderId="18" xfId="1" applyFont="1" applyBorder="1"/>
    <xf numFmtId="0" fontId="18" fillId="0" borderId="0" xfId="0" applyFont="1"/>
    <xf numFmtId="0" fontId="10" fillId="0" borderId="8" xfId="0" applyFont="1" applyBorder="1"/>
    <xf numFmtId="0" fontId="10" fillId="0" borderId="9" xfId="0" applyFont="1" applyBorder="1"/>
    <xf numFmtId="0" fontId="10" fillId="0" borderId="1" xfId="0" applyFont="1" applyBorder="1"/>
    <xf numFmtId="0" fontId="11" fillId="0" borderId="2" xfId="0" applyFont="1" applyBorder="1"/>
    <xf numFmtId="3" fontId="11" fillId="0" borderId="10" xfId="0" applyNumberFormat="1" applyFont="1" applyBorder="1"/>
    <xf numFmtId="0" fontId="11" fillId="0" borderId="8" xfId="0" applyFont="1" applyBorder="1"/>
    <xf numFmtId="3" fontId="11" fillId="0" borderId="9" xfId="0" applyNumberFormat="1" applyFont="1" applyBorder="1"/>
    <xf numFmtId="0" fontId="11" fillId="0" borderId="1" xfId="0" applyFont="1" applyBorder="1"/>
    <xf numFmtId="0" fontId="11" fillId="0" borderId="0" xfId="0" applyFont="1" applyAlignment="1"/>
    <xf numFmtId="0" fontId="25" fillId="0" borderId="0" xfId="0" applyFont="1" applyAlignment="1">
      <alignment wrapText="1"/>
    </xf>
    <xf numFmtId="3" fontId="11" fillId="0" borderId="7" xfId="0" applyNumberFormat="1" applyFont="1" applyBorder="1"/>
    <xf numFmtId="4" fontId="11" fillId="0" borderId="7" xfId="0" applyNumberFormat="1" applyFont="1" applyBorder="1"/>
    <xf numFmtId="0" fontId="11" fillId="0" borderId="7" xfId="0" applyFont="1" applyBorder="1"/>
    <xf numFmtId="3" fontId="11" fillId="0" borderId="1" xfId="0" applyNumberFormat="1" applyFont="1" applyBorder="1"/>
    <xf numFmtId="2" fontId="11" fillId="0" borderId="7" xfId="0" applyNumberFormat="1" applyFont="1" applyBorder="1"/>
    <xf numFmtId="2" fontId="11" fillId="0" borderId="1" xfId="0" applyNumberFormat="1" applyFont="1" applyBorder="1"/>
    <xf numFmtId="0" fontId="10" fillId="2" borderId="5" xfId="0" applyFont="1" applyFill="1" applyBorder="1"/>
    <xf numFmtId="0" fontId="10" fillId="2" borderId="1" xfId="0" applyFont="1" applyFill="1" applyBorder="1"/>
    <xf numFmtId="2" fontId="10" fillId="2" borderId="1" xfId="0" applyNumberFormat="1" applyFont="1" applyFill="1" applyBorder="1"/>
    <xf numFmtId="0" fontId="10" fillId="2" borderId="3" xfId="0" applyFont="1" applyFill="1" applyBorder="1"/>
    <xf numFmtId="0" fontId="10" fillId="2" borderId="4" xfId="0" applyFont="1" applyFill="1" applyBorder="1"/>
    <xf numFmtId="2" fontId="10" fillId="2" borderId="4" xfId="0" applyNumberFormat="1" applyFont="1" applyFill="1" applyBorder="1"/>
    <xf numFmtId="2" fontId="10" fillId="2" borderId="0" xfId="0" applyNumberFormat="1" applyFont="1" applyFill="1" applyBorder="1"/>
    <xf numFmtId="0" fontId="10" fillId="0" borderId="0" xfId="0" applyFont="1" applyAlignment="1">
      <alignment horizontal="center" wrapText="1"/>
    </xf>
    <xf numFmtId="0" fontId="10" fillId="4" borderId="0" xfId="0" applyFont="1" applyFill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4" borderId="19" xfId="0" applyFont="1" applyFill="1" applyBorder="1" applyAlignment="1">
      <alignment horizontal="center" wrapText="1"/>
    </xf>
    <xf numFmtId="0" fontId="10" fillId="4" borderId="19" xfId="0" applyFont="1" applyFill="1" applyBorder="1" applyAlignment="1">
      <alignment horizontal="center"/>
    </xf>
    <xf numFmtId="166" fontId="11" fillId="0" borderId="0" xfId="8" applyNumberFormat="1" applyFont="1" applyAlignment="1">
      <alignment horizontal="center"/>
    </xf>
    <xf numFmtId="43" fontId="11" fillId="4" borderId="0" xfId="8" applyFont="1" applyFill="1" applyAlignment="1">
      <alignment horizontal="center"/>
    </xf>
    <xf numFmtId="167" fontId="11" fillId="0" borderId="0" xfId="9" applyNumberFormat="1" applyFont="1" applyAlignment="1">
      <alignment horizontal="center"/>
    </xf>
    <xf numFmtId="166" fontId="26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168" fontId="26" fillId="0" borderId="0" xfId="0" applyNumberFormat="1" applyFont="1" applyAlignment="1">
      <alignment horizontal="center"/>
    </xf>
    <xf numFmtId="166" fontId="26" fillId="0" borderId="0" xfId="0" applyNumberFormat="1" applyFont="1"/>
    <xf numFmtId="166" fontId="11" fillId="4" borderId="0" xfId="0" applyNumberFormat="1" applyFont="1" applyFill="1"/>
    <xf numFmtId="43" fontId="11" fillId="0" borderId="0" xfId="0" applyNumberFormat="1" applyFont="1" applyAlignment="1">
      <alignment horizontal="center"/>
    </xf>
    <xf numFmtId="43" fontId="11" fillId="4" borderId="0" xfId="0" applyNumberFormat="1" applyFont="1" applyFill="1"/>
    <xf numFmtId="43" fontId="11" fillId="6" borderId="0" xfId="8" applyFont="1" applyFill="1" applyAlignment="1">
      <alignment horizontal="center"/>
    </xf>
    <xf numFmtId="43" fontId="15" fillId="6" borderId="0" xfId="8" applyFont="1" applyFill="1" applyAlignment="1">
      <alignment horizontal="center"/>
    </xf>
    <xf numFmtId="0" fontId="10" fillId="0" borderId="20" xfId="0" applyFont="1" applyBorder="1"/>
    <xf numFmtId="166" fontId="10" fillId="0" borderId="20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166" fontId="10" fillId="4" borderId="20" xfId="8" applyNumberFormat="1" applyFont="1" applyFill="1" applyBorder="1"/>
    <xf numFmtId="164" fontId="10" fillId="0" borderId="20" xfId="0" applyNumberFormat="1" applyFont="1" applyBorder="1" applyAlignment="1">
      <alignment horizontal="center"/>
    </xf>
    <xf numFmtId="43" fontId="10" fillId="4" borderId="20" xfId="0" applyNumberFormat="1" applyFont="1" applyFill="1" applyBorder="1"/>
    <xf numFmtId="0" fontId="10" fillId="0" borderId="1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166" fontId="11" fillId="0" borderId="0" xfId="8" applyNumberFormat="1" applyFont="1"/>
    <xf numFmtId="164" fontId="11" fillId="0" borderId="0" xfId="8" applyNumberFormat="1" applyFont="1" applyAlignment="1">
      <alignment horizontal="center"/>
    </xf>
    <xf numFmtId="9" fontId="11" fillId="0" borderId="0" xfId="9" applyFont="1" applyAlignment="1">
      <alignment horizontal="center"/>
    </xf>
    <xf numFmtId="169" fontId="11" fillId="0" borderId="0" xfId="0" applyNumberFormat="1" applyFont="1" applyAlignment="1">
      <alignment horizontal="center"/>
    </xf>
    <xf numFmtId="169" fontId="11" fillId="0" borderId="0" xfId="0" applyNumberFormat="1" applyFont="1"/>
    <xf numFmtId="0" fontId="10" fillId="5" borderId="0" xfId="0" applyFont="1" applyFill="1" applyAlignment="1">
      <alignment wrapText="1"/>
    </xf>
    <xf numFmtId="0" fontId="11" fillId="5" borderId="0" xfId="0" applyFont="1" applyFill="1" applyAlignment="1">
      <alignment horizontal="center" vertical="center" wrapText="1"/>
    </xf>
    <xf numFmtId="43" fontId="11" fillId="0" borderId="0" xfId="0" applyNumberFormat="1" applyFont="1"/>
    <xf numFmtId="0" fontId="18" fillId="0" borderId="0" xfId="1" applyFont="1" applyFill="1" applyBorder="1" applyAlignment="1">
      <alignment wrapText="1"/>
    </xf>
    <xf numFmtId="166" fontId="11" fillId="0" borderId="0" xfId="8" applyNumberFormat="1" applyFont="1" applyBorder="1"/>
    <xf numFmtId="0" fontId="27" fillId="0" borderId="0" xfId="0" applyFont="1"/>
    <xf numFmtId="0" fontId="27" fillId="0" borderId="0" xfId="0" applyFont="1" applyAlignment="1">
      <alignment wrapText="1"/>
    </xf>
    <xf numFmtId="165" fontId="11" fillId="0" borderId="0" xfId="9" applyNumberFormat="1" applyFont="1"/>
    <xf numFmtId="0" fontId="10" fillId="0" borderId="0" xfId="0" applyFont="1" applyBorder="1" applyAlignment="1">
      <alignment wrapText="1"/>
    </xf>
    <xf numFmtId="39" fontId="11" fillId="0" borderId="0" xfId="8" applyNumberFormat="1" applyFont="1" applyFill="1" applyBorder="1"/>
    <xf numFmtId="2" fontId="11" fillId="0" borderId="0" xfId="0" applyNumberFormat="1" applyFont="1" applyFill="1"/>
    <xf numFmtId="167" fontId="11" fillId="0" borderId="0" xfId="0" applyNumberFormat="1" applyFont="1"/>
    <xf numFmtId="0" fontId="10" fillId="2" borderId="0" xfId="0" applyFont="1" applyFill="1"/>
    <xf numFmtId="2" fontId="10" fillId="2" borderId="0" xfId="0" applyNumberFormat="1" applyFont="1" applyFill="1"/>
    <xf numFmtId="172" fontId="11" fillId="0" borderId="0" xfId="0" applyNumberFormat="1" applyFont="1" applyBorder="1"/>
    <xf numFmtId="0" fontId="11" fillId="0" borderId="0" xfId="0" applyFont="1" applyBorder="1" applyAlignment="1">
      <alignment horizontal="left"/>
    </xf>
    <xf numFmtId="167" fontId="11" fillId="0" borderId="0" xfId="8" applyNumberFormat="1" applyFont="1" applyBorder="1"/>
    <xf numFmtId="0" fontId="0" fillId="8" borderId="0" xfId="0" applyFill="1"/>
    <xf numFmtId="0" fontId="29" fillId="8" borderId="0" xfId="0" applyFont="1" applyFill="1"/>
    <xf numFmtId="49" fontId="0" fillId="8" borderId="0" xfId="0" applyNumberFormat="1" applyFill="1"/>
    <xf numFmtId="0" fontId="4" fillId="8" borderId="0" xfId="0" applyFont="1" applyFill="1"/>
    <xf numFmtId="2" fontId="0" fillId="0" borderId="0" xfId="0" applyNumberFormat="1" applyFont="1" applyBorder="1"/>
    <xf numFmtId="0" fontId="0" fillId="0" borderId="0" xfId="0" applyFont="1" applyFill="1" applyBorder="1"/>
    <xf numFmtId="0" fontId="2" fillId="0" borderId="0" xfId="0" applyFont="1" applyFill="1"/>
    <xf numFmtId="0" fontId="0" fillId="0" borderId="0" xfId="0" applyFont="1" applyFill="1"/>
    <xf numFmtId="2" fontId="30" fillId="0" borderId="0" xfId="1" applyNumberFormat="1" applyFont="1" applyFill="1" applyBorder="1"/>
    <xf numFmtId="0" fontId="27" fillId="0" borderId="0" xfId="1" applyFont="1"/>
    <xf numFmtId="0" fontId="27" fillId="0" borderId="0" xfId="1" applyFont="1" applyBorder="1"/>
    <xf numFmtId="0" fontId="28" fillId="8" borderId="0" xfId="0" applyFont="1" applyFill="1" applyAlignment="1">
      <alignment horizontal="left" wrapText="1"/>
    </xf>
    <xf numFmtId="0" fontId="17" fillId="0" borderId="19" xfId="1" applyFont="1" applyFill="1" applyBorder="1" applyAlignment="1">
      <alignment horizontal="center" vertical="center" wrapText="1"/>
    </xf>
    <xf numFmtId="0" fontId="10" fillId="0" borderId="19" xfId="1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31" fillId="8" borderId="0" xfId="0" applyFont="1" applyFill="1"/>
    <xf numFmtId="0" fontId="8" fillId="8" borderId="0" xfId="296" applyFill="1"/>
    <xf numFmtId="0" fontId="32" fillId="8" borderId="0" xfId="0" applyFont="1" applyFill="1"/>
    <xf numFmtId="0" fontId="30" fillId="0" borderId="0" xfId="1" applyFont="1" applyBorder="1" applyAlignment="1">
      <alignment horizontal="left"/>
    </xf>
    <xf numFmtId="0" fontId="30" fillId="0" borderId="0" xfId="1" applyFont="1" applyBorder="1"/>
    <xf numFmtId="0" fontId="31" fillId="0" borderId="0" xfId="0" applyFont="1" applyBorder="1"/>
    <xf numFmtId="0" fontId="27" fillId="0" borderId="0" xfId="0" applyFont="1" applyBorder="1"/>
    <xf numFmtId="3" fontId="33" fillId="0" borderId="0" xfId="0" applyNumberFormat="1" applyFont="1"/>
    <xf numFmtId="0" fontId="27" fillId="0" borderId="0" xfId="0" applyFont="1" applyAlignment="1">
      <alignment horizontal="left"/>
    </xf>
  </cellXfs>
  <cellStyles count="297">
    <cellStyle name="Comma" xfId="8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Hyperlink" xfId="2" builtinId="8" hidden="1"/>
    <cellStyle name="Hyperlink" xfId="4" builtinId="8" hidden="1"/>
    <cellStyle name="Hyperlink" xfId="6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/>
    <cellStyle name="Normal" xfId="0" builtinId="0"/>
    <cellStyle name="Normal 2" xfId="1"/>
    <cellStyle name="Percent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ael/Dropbox%20(CEA)/DDCF%20-%20LULUCF/Data/Settlements/IEc%20estimation/Urban%20Trees%20Attribution%203.15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Attribution Analysis"/>
      <sheetName val="2016 Calculations by State"/>
      <sheetName val="Sheet1"/>
      <sheetName val="Urban Area"/>
      <sheetName val="Conversion Factors"/>
      <sheetName val="Uncertainty Inputs"/>
      <sheetName val="Uncertainty Inputs2"/>
      <sheetName val="Monte Carlo Uncertainty Resul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B2">
            <v>1E-3</v>
          </cell>
        </row>
        <row r="3">
          <cell r="B3">
            <v>1000000</v>
          </cell>
        </row>
        <row r="5">
          <cell r="B5">
            <v>3.6666666666666665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70C0"/>
      </a:hlink>
      <a:folHlink>
        <a:srgbClr val="0070C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43"/>
  <sheetViews>
    <sheetView tabSelected="1" workbookViewId="0">
      <selection activeCell="A30" sqref="A30"/>
    </sheetView>
  </sheetViews>
  <sheetFormatPr defaultRowHeight="14.5"/>
  <cols>
    <col min="1" max="5" width="8.7265625" style="226"/>
    <col min="6" max="6" width="61.81640625" style="226" customWidth="1"/>
    <col min="7" max="16384" width="8.7265625" style="226"/>
  </cols>
  <sheetData>
    <row r="1" spans="1:6" ht="46" customHeight="1">
      <c r="A1" s="237" t="s">
        <v>568</v>
      </c>
      <c r="B1" s="237"/>
      <c r="C1" s="237"/>
      <c r="D1" s="237"/>
      <c r="E1" s="237"/>
      <c r="F1" s="237"/>
    </row>
    <row r="2" spans="1:6" ht="107" customHeight="1">
      <c r="A2" s="237" t="s">
        <v>569</v>
      </c>
      <c r="B2" s="237"/>
      <c r="C2" s="237"/>
      <c r="D2" s="237"/>
      <c r="E2" s="237"/>
      <c r="F2" s="237"/>
    </row>
    <row r="4" spans="1:6" ht="26">
      <c r="A4" s="227" t="s">
        <v>570</v>
      </c>
    </row>
    <row r="6" spans="1:6">
      <c r="A6" s="228" t="s">
        <v>571</v>
      </c>
    </row>
    <row r="8" spans="1:6">
      <c r="A8" s="229" t="s">
        <v>572</v>
      </c>
    </row>
    <row r="10" spans="1:6">
      <c r="A10" s="243" t="s">
        <v>573</v>
      </c>
    </row>
    <row r="11" spans="1:6" ht="8" customHeight="1">
      <c r="A11" s="243"/>
    </row>
    <row r="12" spans="1:6">
      <c r="A12" s="245" t="s">
        <v>350</v>
      </c>
    </row>
    <row r="13" spans="1:6">
      <c r="A13" s="244" t="s">
        <v>587</v>
      </c>
    </row>
    <row r="14" spans="1:6">
      <c r="A14" s="244" t="s">
        <v>577</v>
      </c>
    </row>
    <row r="15" spans="1:6">
      <c r="A15" s="244" t="s">
        <v>578</v>
      </c>
    </row>
    <row r="16" spans="1:6">
      <c r="A16" s="244" t="s">
        <v>579</v>
      </c>
    </row>
    <row r="17" spans="1:1">
      <c r="A17" s="244" t="s">
        <v>580</v>
      </c>
    </row>
    <row r="18" spans="1:1">
      <c r="A18" s="244" t="s">
        <v>581</v>
      </c>
    </row>
    <row r="19" spans="1:1">
      <c r="A19" s="244" t="s">
        <v>582</v>
      </c>
    </row>
    <row r="20" spans="1:1" ht="8" customHeight="1">
      <c r="A20" s="244"/>
    </row>
    <row r="21" spans="1:1">
      <c r="A21" s="245" t="s">
        <v>575</v>
      </c>
    </row>
    <row r="22" spans="1:1">
      <c r="A22" s="244" t="s">
        <v>590</v>
      </c>
    </row>
    <row r="23" spans="1:1">
      <c r="A23" s="244" t="s">
        <v>583</v>
      </c>
    </row>
    <row r="24" spans="1:1">
      <c r="A24" s="244" t="s">
        <v>597</v>
      </c>
    </row>
    <row r="25" spans="1:1">
      <c r="A25" s="244" t="s">
        <v>598</v>
      </c>
    </row>
    <row r="26" spans="1:1">
      <c r="A26" s="244" t="s">
        <v>599</v>
      </c>
    </row>
    <row r="27" spans="1:1">
      <c r="A27" s="244" t="s">
        <v>591</v>
      </c>
    </row>
    <row r="28" spans="1:1">
      <c r="A28" s="244" t="s">
        <v>592</v>
      </c>
    </row>
    <row r="29" spans="1:1">
      <c r="A29" s="244" t="s">
        <v>593</v>
      </c>
    </row>
    <row r="30" spans="1:1" ht="8" customHeight="1">
      <c r="A30" s="244"/>
    </row>
    <row r="31" spans="1:1">
      <c r="A31" s="245" t="s">
        <v>576</v>
      </c>
    </row>
    <row r="32" spans="1:1">
      <c r="A32" s="244" t="s">
        <v>584</v>
      </c>
    </row>
    <row r="33" spans="1:1">
      <c r="A33" s="244" t="s">
        <v>585</v>
      </c>
    </row>
    <row r="34" spans="1:1">
      <c r="A34" s="244" t="s">
        <v>586</v>
      </c>
    </row>
    <row r="35" spans="1:1">
      <c r="A35" s="244" t="s">
        <v>588</v>
      </c>
    </row>
    <row r="36" spans="1:1">
      <c r="A36" s="244" t="s">
        <v>594</v>
      </c>
    </row>
    <row r="37" spans="1:1" ht="8" customHeight="1">
      <c r="A37" s="244"/>
    </row>
    <row r="38" spans="1:1">
      <c r="A38" s="245" t="s">
        <v>351</v>
      </c>
    </row>
    <row r="39" spans="1:1">
      <c r="A39" s="244" t="s">
        <v>589</v>
      </c>
    </row>
    <row r="40" spans="1:1" ht="8" customHeight="1">
      <c r="A40" s="244"/>
    </row>
    <row r="41" spans="1:1">
      <c r="A41" s="245" t="s">
        <v>574</v>
      </c>
    </row>
    <row r="42" spans="1:1">
      <c r="A42" s="244" t="s">
        <v>595</v>
      </c>
    </row>
    <row r="43" spans="1:1">
      <c r="A43" s="244" t="s">
        <v>596</v>
      </c>
    </row>
  </sheetData>
  <mergeCells count="2">
    <mergeCell ref="A1:F1"/>
    <mergeCell ref="A2:F2"/>
  </mergeCells>
  <hyperlinks>
    <hyperlink ref="A13" location="'T-2 Forest biomass and deadwood'!A1" display="Table T-2: Forest biomass and deadwood carbon stock change"/>
    <hyperlink ref="A14" location="'Forest litter'!A1" display="Forest litter carbon stock change, uncertainty attribution"/>
    <hyperlink ref="A15" location="'Forest soil'!A1" display="Forest soil carbon stock change, uncertainty attribution"/>
    <hyperlink ref="A16" location="'T-9 Non-CO2 forest fires'!A1" display="Table T-9: Non-CO2 from forest fires, uncertainty attribution"/>
    <hyperlink ref="A17" location="'T-10 HWPs'!A1" display="Table T-10: Harvested wood products carbon stock change, uncertainty attribution"/>
    <hyperlink ref="A18" location="'T-11 N to Forest Soils'!A1" display="Table T-11: N additions to forest soils, uncertainty attribution"/>
    <hyperlink ref="A19" location="'T-12 Drained Organic Forest'!A1" display="Table T-12: Drained organic forest soils, uncertainty attribution"/>
    <hyperlink ref="A22" location="'T-14 15 Tier 3 Soils'!A1" display="Table T-14: Tier 3 cropland and grassland soils, uncertainty attribution"/>
    <hyperlink ref="A23" location="'T-19 C-G Tier 1-2'!A1" display="Table T-19: Tier 1&amp;2 cropland and grassland soils, uncertainty attribution"/>
    <hyperlink ref="A24" location="'T-21 Grassland fires'!A1" display="Table T-21: Non-CO2 from grassland fires, uncertainty attribution"/>
    <hyperlink ref="A25" location="'T-22 C-G Drained Organic'!A1" display="Table T-22: Drained organic cropland and grassland soils, uncertainty attribution"/>
    <hyperlink ref="A26" location="'T-25 Agroforestry'!A1" display="Table T-25: Agroforestry carbon stock change, omitted flux estimate"/>
    <hyperlink ref="A27" location="'T-27 Non-CO2 woody biomass'!A1" display="Table T-27: Non-CO2 from woody biomass in grassland fires, omitted flux estimate"/>
    <hyperlink ref="A28" location="'Federal Lands'!A1" display="N2O from federal cropland and grassland (minus PRP), omitted flux estimate"/>
    <hyperlink ref="A29" location="'T-28 Methane Sinks'!A1" display="Table T-28: Soil microbial methane sink, omitted flux estimate"/>
    <hyperlink ref="A32" location="'T-31 Urban Trees'!A1" display="Table T-31: Urban tree carbon stock change, uncertainty attribution"/>
    <hyperlink ref="A33" location="'T-34 YT &amp; FS'!A1" display="Table T-34: Yard trimmings and food scraps carbon stock change, uncertainty attribution"/>
    <hyperlink ref="A34" location="'T-35 N Settlement Soils'!A1" display="Table T-35: N additions to settlement soils, uncertainty attribution"/>
    <hyperlink ref="A35" location="'T-36 Drained Organic Set'!A1" display="Table T-36: Drained organic settlement soils, uncertainty attribution"/>
    <hyperlink ref="A36" location="'Urban Mineral Soils'!A1" display="Urban mineral soil carbon stock change, omitted flux estimate"/>
    <hyperlink ref="A39" location="'T-39 Coastal wetlands'!A1" display="Table T-39: Coastal wetlands, uncertainty attribution"/>
    <hyperlink ref="A42" location="'T-42 Alaska'!A1" display="Table T-42: Alaska, omitted flux estimates"/>
    <hyperlink ref="A43" location="'T-43 Hawaii'!A1" display="Table T-43: Hawaii, omitted flux estimates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F22"/>
  <sheetViews>
    <sheetView workbookViewId="0">
      <selection activeCell="A2" sqref="A2"/>
    </sheetView>
  </sheetViews>
  <sheetFormatPr defaultColWidth="8.81640625" defaultRowHeight="14.5"/>
  <cols>
    <col min="1" max="1" width="29" style="24" customWidth="1"/>
    <col min="2" max="2" width="26.6328125" style="24" customWidth="1"/>
    <col min="3" max="3" width="27.453125" style="24" customWidth="1"/>
    <col min="4" max="16384" width="8.81640625" style="24"/>
  </cols>
  <sheetData>
    <row r="1" spans="1:6">
      <c r="A1" s="248" t="s">
        <v>583</v>
      </c>
      <c r="F1" s="232"/>
    </row>
    <row r="2" spans="1:6">
      <c r="A2" s="120"/>
      <c r="B2" s="120"/>
      <c r="C2" s="120"/>
      <c r="D2" s="120"/>
      <c r="F2" s="233"/>
    </row>
    <row r="3" spans="1:6">
      <c r="A3" s="120"/>
      <c r="B3" s="114" t="s">
        <v>38</v>
      </c>
      <c r="C3" s="115" t="s">
        <v>39</v>
      </c>
      <c r="D3" s="120"/>
    </row>
    <row r="4" spans="1:6">
      <c r="A4" s="115" t="s">
        <v>17</v>
      </c>
      <c r="B4" s="120">
        <v>4.5999999999999999E-2</v>
      </c>
      <c r="C4" s="230">
        <f t="shared" ref="C4:C11" si="0">B4*($B$16-$B$17)</f>
        <v>0.57040000000000013</v>
      </c>
      <c r="D4" s="120"/>
    </row>
    <row r="5" spans="1:6">
      <c r="A5" s="115" t="s">
        <v>18</v>
      </c>
      <c r="B5" s="231">
        <v>3.1E-2</v>
      </c>
      <c r="C5" s="230">
        <f t="shared" si="0"/>
        <v>0.38440000000000007</v>
      </c>
      <c r="D5" s="120"/>
    </row>
    <row r="6" spans="1:6">
      <c r="A6" s="115" t="s">
        <v>19</v>
      </c>
      <c r="B6" s="120">
        <v>1E-3</v>
      </c>
      <c r="C6" s="230">
        <f t="shared" si="0"/>
        <v>1.2400000000000003E-2</v>
      </c>
      <c r="D6" s="120"/>
    </row>
    <row r="7" spans="1:6">
      <c r="A7" s="115" t="s">
        <v>20</v>
      </c>
      <c r="B7" s="120">
        <v>1E-3</v>
      </c>
      <c r="C7" s="230">
        <f t="shared" si="0"/>
        <v>1.2400000000000003E-2</v>
      </c>
      <c r="D7" s="120"/>
    </row>
    <row r="8" spans="1:6">
      <c r="A8" s="115" t="s">
        <v>21</v>
      </c>
      <c r="B8" s="120">
        <v>0.27700000000000002</v>
      </c>
      <c r="C8" s="230">
        <f t="shared" si="0"/>
        <v>3.434800000000001</v>
      </c>
      <c r="D8" s="120"/>
    </row>
    <row r="9" spans="1:6">
      <c r="A9" s="115" t="s">
        <v>22</v>
      </c>
      <c r="B9" s="120">
        <v>0.27700000000000002</v>
      </c>
      <c r="C9" s="230">
        <f t="shared" si="0"/>
        <v>3.434800000000001</v>
      </c>
      <c r="D9" s="120"/>
    </row>
    <row r="10" spans="1:6">
      <c r="A10" s="115" t="s">
        <v>23</v>
      </c>
      <c r="B10" s="120">
        <v>1.4999999999999999E-2</v>
      </c>
      <c r="C10" s="230">
        <f t="shared" si="0"/>
        <v>0.18600000000000003</v>
      </c>
      <c r="D10" s="120"/>
    </row>
    <row r="11" spans="1:6">
      <c r="A11" s="115" t="s">
        <v>24</v>
      </c>
      <c r="B11" s="120">
        <v>0.35399999999999998</v>
      </c>
      <c r="C11" s="230">
        <f t="shared" si="0"/>
        <v>4.3896000000000006</v>
      </c>
      <c r="D11" s="120"/>
    </row>
    <row r="12" spans="1:6">
      <c r="A12" s="116" t="s">
        <v>40</v>
      </c>
      <c r="B12" s="116">
        <f>SUM(B4:B11)</f>
        <v>1.002</v>
      </c>
      <c r="C12" s="117">
        <f>SUM(C4:C11)</f>
        <v>12.424800000000005</v>
      </c>
      <c r="D12" s="120"/>
    </row>
    <row r="13" spans="1:6" s="1" customFormat="1">
      <c r="A13" s="118"/>
      <c r="B13" s="118"/>
      <c r="C13" s="119"/>
      <c r="D13" s="118"/>
    </row>
    <row r="14" spans="1:6">
      <c r="A14" s="120"/>
      <c r="B14" s="120"/>
      <c r="C14" s="120"/>
      <c r="D14" s="120"/>
    </row>
    <row r="15" spans="1:6">
      <c r="A15" s="115" t="s">
        <v>45</v>
      </c>
      <c r="B15" s="120"/>
      <c r="C15" s="120"/>
      <c r="D15" s="120"/>
    </row>
    <row r="16" spans="1:6">
      <c r="A16" s="115" t="s">
        <v>43</v>
      </c>
      <c r="B16" s="120">
        <v>40.700000000000003</v>
      </c>
      <c r="C16" s="120"/>
      <c r="D16" s="120"/>
    </row>
    <row r="17" spans="1:4">
      <c r="A17" s="115" t="s">
        <v>44</v>
      </c>
      <c r="B17" s="120">
        <v>28.3</v>
      </c>
      <c r="C17" s="120"/>
      <c r="D17" s="120"/>
    </row>
    <row r="18" spans="1:4">
      <c r="A18" s="115" t="s">
        <v>4</v>
      </c>
      <c r="B18" s="120">
        <f>B16-B17</f>
        <v>12.400000000000002</v>
      </c>
      <c r="C18" s="120"/>
      <c r="D18" s="120"/>
    </row>
    <row r="19" spans="1:4">
      <c r="A19" s="115"/>
      <c r="B19" s="120"/>
      <c r="C19" s="120"/>
      <c r="D19" s="120"/>
    </row>
    <row r="20" spans="1:4">
      <c r="A20" s="120"/>
      <c r="B20" s="120"/>
      <c r="C20" s="120"/>
      <c r="D20" s="120"/>
    </row>
    <row r="21" spans="1:4">
      <c r="A21" s="120" t="s">
        <v>41</v>
      </c>
      <c r="B21" s="120"/>
      <c r="C21" s="120"/>
      <c r="D21" s="120"/>
    </row>
    <row r="22" spans="1:4">
      <c r="A22" s="120" t="s">
        <v>42</v>
      </c>
      <c r="B22" s="120"/>
      <c r="C22" s="120"/>
      <c r="D22" s="120"/>
    </row>
  </sheetData>
  <hyperlinks>
    <hyperlink ref="A1" location="'T-19 C-G Tier 1-2'!A1" display="Table T-19: Tier 1&amp;2 cropland and grassland soils, uncertainty attribution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I21"/>
  <sheetViews>
    <sheetView workbookViewId="0">
      <selection activeCell="A2" sqref="A2"/>
    </sheetView>
  </sheetViews>
  <sheetFormatPr defaultColWidth="9.1796875" defaultRowHeight="14"/>
  <cols>
    <col min="1" max="1" width="16.81640625" style="46" customWidth="1"/>
    <col min="2" max="2" width="13.453125" style="46" customWidth="1"/>
    <col min="3" max="5" width="11" style="46" customWidth="1"/>
    <col min="6" max="16384" width="9.1796875" style="46"/>
  </cols>
  <sheetData>
    <row r="1" spans="1:9">
      <c r="A1" s="249" t="s">
        <v>597</v>
      </c>
      <c r="B1" s="70"/>
      <c r="C1" s="70"/>
      <c r="D1" s="70"/>
      <c r="E1" s="70"/>
      <c r="F1" s="70"/>
      <c r="G1" s="48"/>
      <c r="H1" s="48"/>
    </row>
    <row r="2" spans="1:9">
      <c r="A2" s="67"/>
      <c r="B2" s="70"/>
      <c r="C2" s="70"/>
      <c r="D2" s="70"/>
      <c r="E2" s="70"/>
      <c r="F2" s="70"/>
      <c r="G2" s="48"/>
      <c r="H2" s="48"/>
    </row>
    <row r="3" spans="1:9" ht="31" customHeight="1" thickBot="1">
      <c r="A3" s="67"/>
      <c r="B3" s="70"/>
      <c r="C3" s="239" t="s">
        <v>0</v>
      </c>
      <c r="D3" s="239"/>
      <c r="E3" s="239"/>
      <c r="F3" s="70"/>
      <c r="G3" s="48"/>
      <c r="H3" s="48"/>
    </row>
    <row r="4" spans="1:9" ht="42">
      <c r="A4" s="80"/>
      <c r="B4" s="81" t="s">
        <v>1</v>
      </c>
      <c r="C4" s="81" t="s">
        <v>2</v>
      </c>
      <c r="D4" s="81" t="s">
        <v>3</v>
      </c>
      <c r="E4" s="81" t="s">
        <v>4</v>
      </c>
      <c r="F4" s="80"/>
      <c r="G4" s="69"/>
      <c r="H4" s="69"/>
    </row>
    <row r="5" spans="1:9">
      <c r="A5" s="82" t="s">
        <v>5</v>
      </c>
      <c r="B5" s="94">
        <v>0.4</v>
      </c>
      <c r="C5" s="83">
        <v>0</v>
      </c>
      <c r="D5" s="83">
        <v>1.3</v>
      </c>
      <c r="E5" s="83">
        <f>D5-C5</f>
        <v>1.3</v>
      </c>
      <c r="F5" s="70"/>
      <c r="G5" s="48"/>
      <c r="H5" s="48"/>
    </row>
    <row r="6" spans="1:9">
      <c r="A6" s="82" t="s">
        <v>6</v>
      </c>
      <c r="B6" s="94">
        <v>0.4</v>
      </c>
      <c r="C6" s="83">
        <v>0</v>
      </c>
      <c r="D6" s="83">
        <v>1.5</v>
      </c>
      <c r="E6" s="83">
        <f t="shared" ref="E6" si="0">D6-C6</f>
        <v>1.5</v>
      </c>
      <c r="F6" s="70"/>
      <c r="G6" s="48"/>
      <c r="H6" s="48"/>
    </row>
    <row r="7" spans="1:9">
      <c r="A7" s="121" t="s">
        <v>7</v>
      </c>
      <c r="B7" s="121">
        <v>0.8</v>
      </c>
      <c r="C7" s="122">
        <v>0.1</v>
      </c>
      <c r="D7" s="122">
        <v>2.7</v>
      </c>
      <c r="E7" s="122">
        <v>2.52</v>
      </c>
      <c r="F7" s="70"/>
      <c r="G7" s="48"/>
      <c r="H7" s="48"/>
    </row>
    <row r="8" spans="1:9">
      <c r="A8" s="70"/>
      <c r="B8" s="70"/>
      <c r="C8" s="70"/>
      <c r="D8" s="70"/>
      <c r="E8" s="70"/>
      <c r="F8" s="70"/>
      <c r="G8" s="48"/>
      <c r="H8" s="48"/>
    </row>
    <row r="9" spans="1:9">
      <c r="A9" s="70"/>
      <c r="B9" s="70"/>
      <c r="C9" s="70"/>
      <c r="D9" s="70"/>
      <c r="E9" s="70"/>
      <c r="F9" s="70"/>
      <c r="G9" s="48"/>
      <c r="H9" s="48"/>
    </row>
    <row r="10" spans="1:9">
      <c r="A10" s="67" t="s">
        <v>8</v>
      </c>
      <c r="B10" s="70"/>
      <c r="C10" s="70"/>
      <c r="D10" s="70"/>
      <c r="E10" s="70"/>
      <c r="F10" s="70"/>
      <c r="G10" s="48"/>
      <c r="H10" s="48"/>
    </row>
    <row r="11" spans="1:9" ht="56">
      <c r="A11" s="70"/>
      <c r="B11" s="71" t="s">
        <v>8</v>
      </c>
      <c r="C11" s="72" t="s">
        <v>9</v>
      </c>
      <c r="D11" s="80"/>
      <c r="E11" s="80"/>
      <c r="F11" s="70"/>
      <c r="G11" s="48"/>
      <c r="H11" s="48"/>
    </row>
    <row r="12" spans="1:9">
      <c r="A12" s="67" t="s">
        <v>10</v>
      </c>
      <c r="B12" s="70">
        <v>3.0000000000000001E-3</v>
      </c>
      <c r="C12" s="73">
        <f>B12*$E$7</f>
        <v>7.5599999999999999E-3</v>
      </c>
      <c r="D12" s="70"/>
      <c r="E12" s="70"/>
      <c r="F12" s="70"/>
      <c r="G12" s="48"/>
      <c r="H12" s="48"/>
    </row>
    <row r="13" spans="1:9">
      <c r="A13" s="67" t="s">
        <v>16</v>
      </c>
      <c r="B13" s="70">
        <v>0.99099999999999999</v>
      </c>
      <c r="C13" s="73">
        <f t="shared" ref="C13:C14" si="1">B13*$E$7</f>
        <v>2.4973200000000002</v>
      </c>
      <c r="D13" s="70"/>
      <c r="E13" s="70"/>
      <c r="F13" s="70"/>
      <c r="G13" s="48"/>
      <c r="H13" s="48"/>
    </row>
    <row r="14" spans="1:9">
      <c r="A14" s="67" t="s">
        <v>14</v>
      </c>
      <c r="B14" s="70">
        <v>6.0000000000000001E-3</v>
      </c>
      <c r="C14" s="73">
        <f t="shared" si="1"/>
        <v>1.512E-2</v>
      </c>
      <c r="D14" s="70"/>
      <c r="E14" s="70"/>
      <c r="F14" s="70"/>
      <c r="G14" s="48"/>
      <c r="H14" s="48"/>
    </row>
    <row r="15" spans="1:9">
      <c r="A15" s="123" t="s">
        <v>15</v>
      </c>
      <c r="B15" s="123">
        <f>SUM(B12:B14)</f>
        <v>1</v>
      </c>
      <c r="C15" s="123">
        <f>SUM(C12:C14)</f>
        <v>2.52</v>
      </c>
      <c r="D15" s="70"/>
      <c r="E15" s="70"/>
      <c r="F15" s="70"/>
      <c r="G15" s="48"/>
      <c r="H15" s="48"/>
      <c r="I15" s="48"/>
    </row>
    <row r="16" spans="1:9">
      <c r="A16" s="67"/>
      <c r="B16" s="70"/>
      <c r="C16" s="124"/>
      <c r="D16" s="70"/>
      <c r="E16" s="70"/>
      <c r="F16" s="70"/>
      <c r="G16" s="48"/>
      <c r="H16" s="48"/>
      <c r="I16" s="48"/>
    </row>
    <row r="17" spans="1:9" ht="14.5">
      <c r="A17" s="125"/>
      <c r="B17" s="126"/>
      <c r="C17" s="127"/>
      <c r="D17" s="70"/>
      <c r="E17" s="70"/>
      <c r="F17" s="70"/>
      <c r="G17" s="48"/>
      <c r="H17" s="48"/>
      <c r="I17" s="48"/>
    </row>
    <row r="18" spans="1:9" ht="14.5">
      <c r="A18" s="125"/>
      <c r="B18" s="125"/>
      <c r="C18" s="128"/>
      <c r="D18" s="70"/>
      <c r="E18" s="70"/>
      <c r="F18" s="70"/>
      <c r="G18" s="48"/>
      <c r="H18" s="48"/>
      <c r="I18" s="48"/>
    </row>
    <row r="19" spans="1:9">
      <c r="A19" s="70"/>
      <c r="B19" s="70"/>
      <c r="C19" s="70"/>
      <c r="D19" s="70"/>
      <c r="E19" s="70"/>
      <c r="F19" s="70"/>
      <c r="G19" s="48"/>
      <c r="H19" s="48"/>
      <c r="I19" s="48"/>
    </row>
    <row r="20" spans="1:9">
      <c r="A20" s="129"/>
      <c r="B20" s="130"/>
      <c r="C20" s="130"/>
      <c r="D20" s="130"/>
      <c r="E20" s="130"/>
      <c r="F20" s="130"/>
      <c r="G20" s="79"/>
      <c r="H20" s="79"/>
      <c r="I20" s="79"/>
    </row>
    <row r="21" spans="1:9">
      <c r="A21" s="78"/>
      <c r="B21" s="79"/>
      <c r="C21" s="79"/>
      <c r="D21" s="79"/>
      <c r="E21" s="79"/>
      <c r="F21" s="79"/>
      <c r="G21" s="79"/>
      <c r="H21" s="79"/>
      <c r="I21" s="79"/>
    </row>
  </sheetData>
  <mergeCells count="1">
    <mergeCell ref="C3:E3"/>
  </mergeCells>
  <hyperlinks>
    <hyperlink ref="A1" location="'T-21 Grassland fires'!A1" display="Table T-21: Non-CO2 from grassland fires, uncertainty attribution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H18"/>
  <sheetViews>
    <sheetView zoomScaleNormal="100" zoomScalePageLayoutView="90" workbookViewId="0"/>
  </sheetViews>
  <sheetFormatPr defaultColWidth="8.81640625" defaultRowHeight="14"/>
  <cols>
    <col min="1" max="1" width="31.1796875" style="46" customWidth="1"/>
    <col min="2" max="8" width="15" style="46" customWidth="1"/>
    <col min="9" max="16384" width="8.81640625" style="46"/>
  </cols>
  <sheetData>
    <row r="1" spans="1:8">
      <c r="A1" s="247" t="s">
        <v>598</v>
      </c>
      <c r="B1" s="56"/>
      <c r="C1" s="56"/>
      <c r="D1" s="56"/>
      <c r="E1" s="56"/>
      <c r="F1" s="56"/>
      <c r="G1" s="56"/>
      <c r="H1" s="56"/>
    </row>
    <row r="2" spans="1:8">
      <c r="A2" s="60"/>
      <c r="B2" s="60"/>
      <c r="C2" s="60"/>
      <c r="D2" s="60"/>
      <c r="E2" s="60"/>
      <c r="F2" s="60"/>
      <c r="G2" s="60"/>
      <c r="H2" s="60"/>
    </row>
    <row r="3" spans="1:8">
      <c r="A3" s="60"/>
      <c r="B3" s="65"/>
      <c r="C3" s="65"/>
      <c r="D3" s="65"/>
      <c r="E3" s="65"/>
      <c r="F3" s="65"/>
      <c r="G3" s="65"/>
      <c r="H3" s="65"/>
    </row>
    <row r="4" spans="1:8" ht="28">
      <c r="A4" s="91" t="s">
        <v>118</v>
      </c>
      <c r="B4" s="91" t="s">
        <v>259</v>
      </c>
      <c r="C4" s="91" t="s">
        <v>2</v>
      </c>
      <c r="D4" s="91" t="s">
        <v>3</v>
      </c>
      <c r="E4" s="93" t="s">
        <v>260</v>
      </c>
      <c r="F4" s="93" t="s">
        <v>261</v>
      </c>
      <c r="G4" s="93" t="s">
        <v>262</v>
      </c>
      <c r="H4" s="93" t="s">
        <v>256</v>
      </c>
    </row>
    <row r="5" spans="1:8">
      <c r="A5" s="94" t="s">
        <v>274</v>
      </c>
      <c r="B5" s="95">
        <v>29.8</v>
      </c>
      <c r="C5" s="95">
        <v>26.6</v>
      </c>
      <c r="D5" s="95">
        <v>32.9</v>
      </c>
      <c r="E5" s="95">
        <f>B5-C5</f>
        <v>3.1999999999999993</v>
      </c>
      <c r="F5" s="95">
        <f>D5-B5</f>
        <v>3.0999999999999979</v>
      </c>
      <c r="G5" s="95">
        <f>AVERAGE(E5:F5)/1.96</f>
        <v>1.6071428571428565</v>
      </c>
      <c r="H5" s="95">
        <f>G5^2</f>
        <v>2.5829081632653041</v>
      </c>
    </row>
    <row r="6" spans="1:8">
      <c r="A6" s="94" t="s">
        <v>275</v>
      </c>
      <c r="B6" s="95">
        <v>3.4</v>
      </c>
      <c r="C6" s="95">
        <v>2.4</v>
      </c>
      <c r="D6" s="95">
        <v>4.4000000000000004</v>
      </c>
      <c r="E6" s="95">
        <f t="shared" ref="E6:E8" si="0">B6-C6</f>
        <v>1</v>
      </c>
      <c r="F6" s="95">
        <f t="shared" ref="F6:F8" si="1">D6-B6</f>
        <v>1.0000000000000004</v>
      </c>
      <c r="G6" s="95">
        <f t="shared" ref="G6:G8" si="2">AVERAGE(E6:F6)/1.96</f>
        <v>0.51020408163265318</v>
      </c>
      <c r="H6" s="95">
        <f>G6^2</f>
        <v>0.26030820491461903</v>
      </c>
    </row>
    <row r="7" spans="1:8">
      <c r="A7" s="94" t="s">
        <v>276</v>
      </c>
      <c r="B7" s="95">
        <v>5.5</v>
      </c>
      <c r="C7" s="95">
        <v>5</v>
      </c>
      <c r="D7" s="95">
        <v>6.1</v>
      </c>
      <c r="E7" s="95">
        <f t="shared" si="0"/>
        <v>0.5</v>
      </c>
      <c r="F7" s="95">
        <f t="shared" si="1"/>
        <v>0.59999999999999964</v>
      </c>
      <c r="G7" s="95">
        <f t="shared" si="2"/>
        <v>0.28061224489795911</v>
      </c>
      <c r="H7" s="95">
        <f>G7^2</f>
        <v>7.8743231986672171E-2</v>
      </c>
    </row>
    <row r="8" spans="1:8">
      <c r="A8" s="94" t="s">
        <v>277</v>
      </c>
      <c r="B8" s="95">
        <v>1.6</v>
      </c>
      <c r="C8" s="95">
        <v>1.3</v>
      </c>
      <c r="D8" s="95">
        <v>1.9</v>
      </c>
      <c r="E8" s="95">
        <f t="shared" si="0"/>
        <v>0.30000000000000004</v>
      </c>
      <c r="F8" s="95">
        <f t="shared" si="1"/>
        <v>0.29999999999999982</v>
      </c>
      <c r="G8" s="95">
        <f t="shared" si="2"/>
        <v>0.15306122448979589</v>
      </c>
      <c r="H8" s="95">
        <f>G8^2</f>
        <v>2.3427738442315695E-2</v>
      </c>
    </row>
    <row r="9" spans="1:8">
      <c r="A9" s="94" t="s">
        <v>267</v>
      </c>
      <c r="B9" s="95">
        <f>SUM(B5:B8)</f>
        <v>40.300000000000004</v>
      </c>
      <c r="C9" s="95">
        <f>B9-F9</f>
        <v>36.936222361689175</v>
      </c>
      <c r="D9" s="95">
        <f>B9+F9</f>
        <v>43.663777638310833</v>
      </c>
      <c r="E9" s="95"/>
      <c r="F9" s="95">
        <f>G9*1.96</f>
        <v>3.3637776383108311</v>
      </c>
      <c r="G9" s="95">
        <f>H9^0.5</f>
        <v>1.7162130807708322</v>
      </c>
      <c r="H9" s="95">
        <f>SUM(H5:H8)</f>
        <v>2.9453873386089109</v>
      </c>
    </row>
    <row r="10" spans="1:8">
      <c r="A10" s="94"/>
      <c r="B10" s="94"/>
      <c r="C10" s="94"/>
      <c r="D10" s="94"/>
      <c r="E10" s="94"/>
      <c r="F10" s="94"/>
      <c r="G10" s="94"/>
      <c r="H10" s="94"/>
    </row>
    <row r="11" spans="1:8" ht="56.5">
      <c r="A11" s="93" t="s">
        <v>268</v>
      </c>
      <c r="B11" s="93" t="s">
        <v>533</v>
      </c>
      <c r="C11" s="50" t="s">
        <v>548</v>
      </c>
      <c r="D11" s="93" t="s">
        <v>269</v>
      </c>
      <c r="E11" s="93" t="s">
        <v>273</v>
      </c>
      <c r="F11" s="65"/>
      <c r="G11" s="65"/>
      <c r="H11" s="65"/>
    </row>
    <row r="12" spans="1:8">
      <c r="A12" s="97" t="s">
        <v>15</v>
      </c>
      <c r="B12" s="98">
        <f>D9-C9</f>
        <v>6.7275552766216578</v>
      </c>
      <c r="D12" s="132">
        <f>SUM(D13:D16)</f>
        <v>0.99999999999999989</v>
      </c>
      <c r="E12" s="98">
        <f>SUM(E13:E16)</f>
        <v>6.7275552766216569</v>
      </c>
      <c r="F12" s="65"/>
      <c r="G12" s="65"/>
      <c r="H12" s="65"/>
    </row>
    <row r="13" spans="1:8">
      <c r="A13" s="97" t="s">
        <v>274</v>
      </c>
      <c r="B13" s="98">
        <v>2.36</v>
      </c>
      <c r="C13" s="211">
        <f>B12-B13</f>
        <v>4.3675552766216583</v>
      </c>
      <c r="D13" s="132">
        <f>C13/$C$17</f>
        <v>0.91176486002021395</v>
      </c>
      <c r="E13" s="98">
        <f>D13*$B$12</f>
        <v>6.1339484950671972</v>
      </c>
      <c r="F13" s="65"/>
      <c r="G13" s="65"/>
      <c r="H13" s="65"/>
    </row>
    <row r="14" spans="1:8">
      <c r="A14" s="97" t="s">
        <v>275</v>
      </c>
      <c r="B14" s="98">
        <v>6.42</v>
      </c>
      <c r="C14" s="211">
        <f>B12-B14</f>
        <v>0.30755527662165782</v>
      </c>
      <c r="D14" s="132">
        <f t="shared" ref="D14:D16" si="3">C14/$C$17</f>
        <v>6.4204818480129197E-2</v>
      </c>
      <c r="E14" s="98">
        <f t="shared" ref="E14:E16" si="4">D14*$B$12</f>
        <v>0.43194146535052891</v>
      </c>
      <c r="F14" s="65"/>
      <c r="G14" s="65"/>
      <c r="H14" s="65"/>
    </row>
    <row r="15" spans="1:8">
      <c r="A15" s="97" t="s">
        <v>276</v>
      </c>
      <c r="B15" s="98">
        <v>6.64</v>
      </c>
      <c r="C15" s="211">
        <f>B12-B15</f>
        <v>8.7555276621658074E-2</v>
      </c>
      <c r="D15" s="132">
        <f t="shared" si="3"/>
        <v>1.827791967746456E-2</v>
      </c>
      <c r="E15" s="98">
        <f t="shared" si="4"/>
        <v>0.12296571497179352</v>
      </c>
      <c r="F15" s="65"/>
      <c r="G15" s="65"/>
      <c r="H15" s="65"/>
    </row>
    <row r="16" spans="1:8">
      <c r="A16" s="97" t="s">
        <v>277</v>
      </c>
      <c r="B16" s="98">
        <v>6.7</v>
      </c>
      <c r="C16" s="211">
        <f>B12-B16</f>
        <v>2.7555276621657576E-2</v>
      </c>
      <c r="D16" s="132">
        <f t="shared" si="3"/>
        <v>5.7524018221922707E-3</v>
      </c>
      <c r="E16" s="98">
        <f t="shared" si="4"/>
        <v>3.869960123213765E-2</v>
      </c>
      <c r="F16" s="99"/>
      <c r="G16" s="65"/>
      <c r="H16" s="65"/>
    </row>
    <row r="17" spans="1:8">
      <c r="A17" s="94"/>
      <c r="B17" s="94"/>
      <c r="C17" s="131">
        <f>SUM(C13:C16)</f>
        <v>4.7902211064866318</v>
      </c>
      <c r="D17" s="131">
        <f t="shared" ref="D17:E17" si="5">SUM(D13:D16)</f>
        <v>0.99999999999999989</v>
      </c>
      <c r="E17" s="131">
        <f t="shared" si="5"/>
        <v>6.7275552766216569</v>
      </c>
      <c r="F17" s="94"/>
      <c r="G17" s="94"/>
      <c r="H17" s="94"/>
    </row>
    <row r="18" spans="1:8">
      <c r="A18" s="94"/>
      <c r="B18" s="94"/>
      <c r="C18" s="94"/>
      <c r="D18" s="94"/>
      <c r="E18" s="94"/>
      <c r="F18" s="94"/>
      <c r="G18" s="94"/>
      <c r="H18" s="94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</sheetPr>
  <dimension ref="A1:Q75"/>
  <sheetViews>
    <sheetView workbookViewId="0">
      <selection activeCell="A2" sqref="A2"/>
    </sheetView>
  </sheetViews>
  <sheetFormatPr defaultColWidth="8.81640625" defaultRowHeight="14.5"/>
  <cols>
    <col min="1" max="1" width="27.1796875" style="21" customWidth="1"/>
    <col min="2" max="2" width="9.36328125" style="21" customWidth="1"/>
    <col min="3" max="7" width="9.1796875" style="21" customWidth="1"/>
    <col min="8" max="8" width="10.453125" style="21" customWidth="1"/>
    <col min="9" max="9" width="13.36328125" style="21" customWidth="1"/>
    <col min="10" max="10" width="9.1796875" style="21" customWidth="1"/>
    <col min="11" max="11" width="9.6328125" style="21" customWidth="1"/>
    <col min="12" max="12" width="9.1796875" style="21" customWidth="1"/>
    <col min="13" max="13" width="10.453125" style="21" customWidth="1"/>
    <col min="14" max="14" width="9.81640625" style="21" customWidth="1"/>
    <col min="15" max="15" width="9" style="21" customWidth="1"/>
    <col min="16" max="16" width="8.81640625" style="21"/>
    <col min="17" max="17" width="0" style="21" hidden="1" customWidth="1"/>
    <col min="18" max="18" width="24.36328125" style="21" customWidth="1"/>
    <col min="19" max="19" width="10.36328125" style="21" customWidth="1"/>
    <col min="20" max="20" width="8.81640625" style="21"/>
    <col min="21" max="21" width="19.453125" style="21" customWidth="1"/>
    <col min="22" max="16384" width="8.81640625" style="21"/>
  </cols>
  <sheetData>
    <row r="1" spans="1:9">
      <c r="A1" s="250" t="s">
        <v>599</v>
      </c>
    </row>
    <row r="2" spans="1:9">
      <c r="A2" s="7"/>
    </row>
    <row r="3" spans="1:9">
      <c r="A3" s="8" t="s">
        <v>77</v>
      </c>
    </row>
    <row r="4" spans="1:9">
      <c r="A4" s="9" t="s">
        <v>78</v>
      </c>
      <c r="B4" s="10" t="s">
        <v>79</v>
      </c>
      <c r="C4" s="10" t="s">
        <v>80</v>
      </c>
    </row>
    <row r="5" spans="1:9">
      <c r="A5" s="22" t="s">
        <v>81</v>
      </c>
      <c r="B5" s="23">
        <f>8.58/8.95</f>
        <v>0.95865921787709507</v>
      </c>
      <c r="C5" s="23">
        <f>4/85</f>
        <v>4.7058823529411764E-2</v>
      </c>
    </row>
    <row r="6" spans="1:9">
      <c r="A6" s="22" t="s">
        <v>82</v>
      </c>
      <c r="B6" s="23">
        <v>2.6</v>
      </c>
      <c r="C6" s="23">
        <f>1.5/2.4</f>
        <v>0.625</v>
      </c>
    </row>
    <row r="7" spans="1:9">
      <c r="A7" s="22" t="s">
        <v>83</v>
      </c>
      <c r="B7" s="23">
        <v>3.4</v>
      </c>
      <c r="C7" s="23">
        <v>0.9</v>
      </c>
    </row>
    <row r="8" spans="1:9">
      <c r="A8" s="22" t="s">
        <v>84</v>
      </c>
      <c r="B8" s="23">
        <v>6.1</v>
      </c>
      <c r="C8" s="23">
        <v>1.8</v>
      </c>
    </row>
    <row r="9" spans="1:9">
      <c r="A9" s="7"/>
    </row>
    <row r="10" spans="1:9">
      <c r="A10" s="7" t="s">
        <v>85</v>
      </c>
    </row>
    <row r="11" spans="1:9">
      <c r="A11" s="9" t="s">
        <v>86</v>
      </c>
      <c r="B11" s="10" t="s">
        <v>87</v>
      </c>
    </row>
    <row r="12" spans="1:9">
      <c r="A12" s="22">
        <v>5</v>
      </c>
      <c r="B12" s="23">
        <v>0.75</v>
      </c>
    </row>
    <row r="13" spans="1:9">
      <c r="A13" s="22">
        <v>10</v>
      </c>
      <c r="B13" s="23">
        <v>0.5</v>
      </c>
    </row>
    <row r="16" spans="1:9">
      <c r="A16" s="4" t="s">
        <v>88</v>
      </c>
      <c r="B16" s="24"/>
      <c r="C16" s="24"/>
      <c r="D16" s="24"/>
      <c r="E16" s="24"/>
      <c r="F16" s="24"/>
      <c r="G16" s="24"/>
      <c r="H16" s="24"/>
      <c r="I16" s="24"/>
    </row>
    <row r="17" spans="1:17">
      <c r="A17" s="6"/>
      <c r="B17" s="3">
        <v>2008</v>
      </c>
      <c r="C17" s="3">
        <v>2009</v>
      </c>
      <c r="D17" s="3">
        <v>2010</v>
      </c>
      <c r="E17" s="3">
        <v>2011</v>
      </c>
      <c r="F17" s="3">
        <v>2012</v>
      </c>
      <c r="G17" s="11" t="s">
        <v>15</v>
      </c>
      <c r="H17" s="11" t="s">
        <v>89</v>
      </c>
    </row>
    <row r="18" spans="1:17">
      <c r="A18" s="25" t="s">
        <v>81</v>
      </c>
      <c r="B18" s="21">
        <f>($G$18-($E$18+$F$18))/3</f>
        <v>6093.1636363636353</v>
      </c>
      <c r="C18" s="21">
        <f>($G$18-($E$18+$F$18))/3</f>
        <v>6093.1636363636353</v>
      </c>
      <c r="D18" s="21">
        <f>($G$18-($E$18+$F$18))/3</f>
        <v>6093.1636363636353</v>
      </c>
      <c r="E18" s="21">
        <f>2169*5280*60/43560*0.405</f>
        <v>6388.6909090909094</v>
      </c>
      <c r="F18" s="21">
        <f>1789*5280*60/43560*0.405</f>
        <v>5269.4181818181814</v>
      </c>
      <c r="G18" s="26">
        <f>(336000*0.405)*0.22</f>
        <v>29937.599999999999</v>
      </c>
      <c r="H18" s="27">
        <f>G18/$G$22</f>
        <v>0.21869822485207099</v>
      </c>
    </row>
    <row r="19" spans="1:17">
      <c r="A19" s="25" t="s">
        <v>90</v>
      </c>
      <c r="B19" s="21">
        <f>($G$19-($E$19+$F$19))/3</f>
        <v>16643.475000000002</v>
      </c>
      <c r="C19" s="21">
        <f>($G$19-($E$19+$F$19))/3</f>
        <v>16643.475000000002</v>
      </c>
      <c r="D19" s="21">
        <f>($G$19-($E$19+$F$19))/3</f>
        <v>16643.475000000002</v>
      </c>
      <c r="E19" s="21">
        <f>58684*0.405</f>
        <v>23767.02</v>
      </c>
      <c r="F19" s="21">
        <f>76751*0.405</f>
        <v>31084.155000000002</v>
      </c>
      <c r="G19" s="26">
        <f>(336000*0.405)*0.77</f>
        <v>104781.6</v>
      </c>
      <c r="H19" s="27">
        <f>G19/$G$22</f>
        <v>0.76544378698224858</v>
      </c>
    </row>
    <row r="20" spans="1:17">
      <c r="A20" s="25" t="s">
        <v>83</v>
      </c>
      <c r="B20" s="21">
        <f>($G$20-($E$20+$F$20))/3</f>
        <v>418.76999999999612</v>
      </c>
      <c r="C20" s="21">
        <f>($G$20-($E$20+$F$20))/3</f>
        <v>418.76999999999612</v>
      </c>
      <c r="D20" s="21">
        <f>($G$20-($E$20+$F$20))/3</f>
        <v>418.76999999999612</v>
      </c>
      <c r="E20" s="21">
        <f>203*0.405</f>
        <v>82.215000000000003</v>
      </c>
      <c r="F20" s="21">
        <f>55*0.405</f>
        <v>22.275000000000002</v>
      </c>
      <c r="G20" s="26">
        <f>(336000*0.405)-(G19+G18)</f>
        <v>1360.7999999999884</v>
      </c>
      <c r="H20" s="27">
        <f>G20/$G$22</f>
        <v>9.9408284023667793E-3</v>
      </c>
    </row>
    <row r="21" spans="1:17">
      <c r="A21" s="25" t="s">
        <v>84</v>
      </c>
      <c r="B21" s="21">
        <f>($G$21-($E$21+$F$21))/3</f>
        <v>146.47499999999999</v>
      </c>
      <c r="C21" s="21">
        <f>($G$21-($E$21+$F$21))/3</f>
        <v>146.47499999999999</v>
      </c>
      <c r="D21" s="21">
        <f>($G$21-($E$21+$F$21))/3</f>
        <v>146.47499999999999</v>
      </c>
      <c r="E21" s="21">
        <f>583*0.405</f>
        <v>236.11500000000001</v>
      </c>
      <c r="F21" s="21">
        <f>332*0.405</f>
        <v>134.46</v>
      </c>
      <c r="G21" s="26">
        <f>2000*0.405</f>
        <v>810</v>
      </c>
      <c r="H21" s="27">
        <f>G21/$G$22</f>
        <v>5.9171597633136093E-3</v>
      </c>
    </row>
    <row r="22" spans="1:17" ht="15" thickBot="1">
      <c r="A22" s="28" t="s">
        <v>91</v>
      </c>
      <c r="B22" s="29">
        <f t="shared" ref="B22:H22" si="0">SUM(B18:B21)</f>
        <v>23301.883636363633</v>
      </c>
      <c r="C22" s="29">
        <f t="shared" si="0"/>
        <v>23301.883636363633</v>
      </c>
      <c r="D22" s="29">
        <f t="shared" si="0"/>
        <v>23301.883636363633</v>
      </c>
      <c r="E22" s="29">
        <f t="shared" si="0"/>
        <v>30474.040909090912</v>
      </c>
      <c r="F22" s="29">
        <f t="shared" si="0"/>
        <v>36510.308181818182</v>
      </c>
      <c r="G22" s="30">
        <f t="shared" si="0"/>
        <v>136890</v>
      </c>
      <c r="H22" s="31">
        <f t="shared" si="0"/>
        <v>1</v>
      </c>
    </row>
    <row r="23" spans="1:17" ht="15" thickTop="1">
      <c r="A23" s="2" t="s">
        <v>92</v>
      </c>
      <c r="H23" s="32"/>
    </row>
    <row r="26" spans="1:17">
      <c r="A26" s="8" t="s">
        <v>93</v>
      </c>
    </row>
    <row r="27" spans="1:17">
      <c r="A27" s="33"/>
      <c r="B27" s="12">
        <v>2003</v>
      </c>
      <c r="C27" s="12">
        <v>2004</v>
      </c>
      <c r="D27" s="12">
        <v>2005</v>
      </c>
      <c r="E27" s="12">
        <v>2006</v>
      </c>
      <c r="F27" s="12">
        <v>2007</v>
      </c>
      <c r="G27" s="12">
        <v>2008</v>
      </c>
      <c r="H27" s="12">
        <v>2009</v>
      </c>
      <c r="I27" s="12">
        <v>2010</v>
      </c>
      <c r="J27" s="12">
        <v>2011</v>
      </c>
      <c r="K27" s="12">
        <v>2012</v>
      </c>
      <c r="L27" s="12">
        <v>2013</v>
      </c>
      <c r="M27" s="12">
        <v>2014</v>
      </c>
      <c r="N27" s="12">
        <v>2015</v>
      </c>
      <c r="O27" s="12">
        <v>2016</v>
      </c>
      <c r="P27" s="13"/>
      <c r="Q27" s="7">
        <v>2017</v>
      </c>
    </row>
    <row r="28" spans="1:17">
      <c r="A28" s="22" t="s">
        <v>94</v>
      </c>
      <c r="B28" s="21">
        <v>1789</v>
      </c>
      <c r="C28" s="21">
        <v>1850</v>
      </c>
      <c r="D28" s="21">
        <v>1862</v>
      </c>
      <c r="E28" s="21">
        <v>1931</v>
      </c>
      <c r="F28" s="21">
        <v>1948</v>
      </c>
      <c r="G28" s="21">
        <v>1990</v>
      </c>
      <c r="H28" s="21">
        <v>1934</v>
      </c>
      <c r="I28" s="21">
        <v>1884</v>
      </c>
      <c r="J28" s="21">
        <v>1939</v>
      </c>
      <c r="K28" s="21">
        <v>1969</v>
      </c>
      <c r="L28" s="21">
        <v>1876</v>
      </c>
      <c r="M28" s="21">
        <v>1857</v>
      </c>
      <c r="N28" s="21">
        <v>1736</v>
      </c>
      <c r="O28" s="21">
        <v>1821</v>
      </c>
    </row>
    <row r="29" spans="1:17">
      <c r="A29" s="22" t="s">
        <v>95</v>
      </c>
      <c r="B29" s="14">
        <v>0</v>
      </c>
      <c r="C29" s="14">
        <v>40</v>
      </c>
      <c r="D29" s="14">
        <v>202</v>
      </c>
      <c r="E29" s="14">
        <v>257</v>
      </c>
      <c r="F29" s="21">
        <v>294</v>
      </c>
      <c r="G29" s="14">
        <v>317</v>
      </c>
      <c r="H29" s="21">
        <v>9</v>
      </c>
      <c r="I29" s="21">
        <v>390</v>
      </c>
      <c r="J29" s="21">
        <v>601</v>
      </c>
      <c r="K29" s="21">
        <v>742</v>
      </c>
      <c r="L29" s="21">
        <v>92</v>
      </c>
      <c r="M29" s="21">
        <v>1079</v>
      </c>
      <c r="N29" s="21">
        <v>1164</v>
      </c>
      <c r="O29" s="21">
        <v>1225</v>
      </c>
    </row>
    <row r="30" spans="1:17">
      <c r="A30" s="22" t="s">
        <v>96</v>
      </c>
      <c r="B30" s="21">
        <v>691</v>
      </c>
      <c r="C30" s="21">
        <v>903</v>
      </c>
      <c r="D30" s="21">
        <v>950</v>
      </c>
      <c r="E30" s="21">
        <v>992</v>
      </c>
      <c r="F30" s="21">
        <v>993</v>
      </c>
      <c r="G30" s="21">
        <v>1200</v>
      </c>
      <c r="H30" s="21">
        <v>1067</v>
      </c>
      <c r="I30" s="21">
        <v>1174</v>
      </c>
      <c r="J30" s="21">
        <v>1238</v>
      </c>
      <c r="K30" s="21">
        <v>1373</v>
      </c>
      <c r="L30" s="21">
        <v>376</v>
      </c>
      <c r="M30" s="21">
        <v>1350</v>
      </c>
      <c r="N30" s="21">
        <v>1347</v>
      </c>
      <c r="O30" s="21">
        <v>1529</v>
      </c>
    </row>
    <row r="31" spans="1:17" ht="15" thickBot="1">
      <c r="A31" s="34" t="s">
        <v>15</v>
      </c>
      <c r="B31" s="29">
        <f t="shared" ref="B31:O31" si="1">SUM(B28:B30)</f>
        <v>2480</v>
      </c>
      <c r="C31" s="29">
        <f t="shared" si="1"/>
        <v>2793</v>
      </c>
      <c r="D31" s="29">
        <f t="shared" si="1"/>
        <v>3014</v>
      </c>
      <c r="E31" s="29">
        <f t="shared" si="1"/>
        <v>3180</v>
      </c>
      <c r="F31" s="29">
        <f t="shared" si="1"/>
        <v>3235</v>
      </c>
      <c r="G31" s="29">
        <f t="shared" si="1"/>
        <v>3507</v>
      </c>
      <c r="H31" s="29">
        <f t="shared" si="1"/>
        <v>3010</v>
      </c>
      <c r="I31" s="29">
        <f t="shared" si="1"/>
        <v>3448</v>
      </c>
      <c r="J31" s="29">
        <f t="shared" si="1"/>
        <v>3778</v>
      </c>
      <c r="K31" s="29">
        <f t="shared" si="1"/>
        <v>4084</v>
      </c>
      <c r="L31" s="29">
        <f t="shared" si="1"/>
        <v>2344</v>
      </c>
      <c r="M31" s="29">
        <f t="shared" si="1"/>
        <v>4286</v>
      </c>
      <c r="N31" s="29">
        <f t="shared" si="1"/>
        <v>4247</v>
      </c>
      <c r="O31" s="29">
        <f t="shared" si="1"/>
        <v>4575</v>
      </c>
      <c r="Q31" s="21">
        <f>SUM(Q28:Q30)</f>
        <v>0</v>
      </c>
    </row>
    <row r="32" spans="1:17" s="14" customFormat="1" ht="15" thickTop="1">
      <c r="A32" s="14" t="s">
        <v>97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s="14" customFormat="1">
      <c r="A33" s="14" t="s">
        <v>98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s="14" customFormat="1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>
      <c r="A36" s="5" t="s">
        <v>99</v>
      </c>
      <c r="B36" s="24"/>
      <c r="C36" s="24"/>
      <c r="D36" s="24"/>
      <c r="E36" s="24"/>
      <c r="F36" s="24"/>
      <c r="G36" s="24"/>
      <c r="H36" s="24"/>
      <c r="I36" s="24"/>
      <c r="J36" s="23"/>
      <c r="K36" s="23"/>
      <c r="L36" s="23"/>
      <c r="M36" s="23"/>
      <c r="N36" s="23"/>
    </row>
    <row r="37" spans="1:14">
      <c r="A37" s="16"/>
      <c r="B37" s="12">
        <v>2004</v>
      </c>
      <c r="C37" s="12">
        <v>2005</v>
      </c>
      <c r="D37" s="12">
        <v>2006</v>
      </c>
      <c r="E37" s="12">
        <v>2007</v>
      </c>
      <c r="F37" s="12">
        <v>2008</v>
      </c>
      <c r="G37" s="12">
        <v>2009</v>
      </c>
      <c r="H37" s="12">
        <v>2010</v>
      </c>
      <c r="I37" s="12">
        <v>2011</v>
      </c>
      <c r="J37" s="12">
        <v>2012</v>
      </c>
      <c r="K37" s="17" t="s">
        <v>100</v>
      </c>
      <c r="M37" s="23"/>
      <c r="N37" s="23"/>
    </row>
    <row r="38" spans="1:14">
      <c r="A38" s="35" t="s">
        <v>81</v>
      </c>
      <c r="B38" s="32"/>
      <c r="C38" s="32"/>
      <c r="D38" s="32"/>
      <c r="E38" s="32"/>
      <c r="F38" s="32">
        <f>B18/$G$31</f>
        <v>1.7374290380278401</v>
      </c>
      <c r="G38" s="32">
        <f>C18/$H$31</f>
        <v>2.0243068559347623</v>
      </c>
      <c r="H38" s="32">
        <f>D18/$I$31</f>
        <v>1.7671588272516343</v>
      </c>
      <c r="I38" s="32">
        <f>E18/$J$31</f>
        <v>1.6910245921362914</v>
      </c>
      <c r="J38" s="32">
        <f>F18/$K$31</f>
        <v>1.2902591042649807</v>
      </c>
      <c r="K38" s="36">
        <f>AVERAGE(F38:J38)</f>
        <v>1.7020356835231021</v>
      </c>
      <c r="M38" s="23"/>
      <c r="N38" s="23"/>
    </row>
    <row r="39" spans="1:14">
      <c r="A39" s="35" t="s">
        <v>90</v>
      </c>
      <c r="B39" s="32"/>
      <c r="C39" s="32"/>
      <c r="D39" s="32"/>
      <c r="E39" s="32"/>
      <c r="F39" s="32">
        <f>B19/$G$31</f>
        <v>4.7457869974337044</v>
      </c>
      <c r="G39" s="32">
        <f>C19/$H$31</f>
        <v>5.5293936877076417</v>
      </c>
      <c r="H39" s="32">
        <f>D19/$I$31</f>
        <v>4.8269939095127619</v>
      </c>
      <c r="I39" s="32">
        <f>E19/$J$31</f>
        <v>6.2908999470619378</v>
      </c>
      <c r="J39" s="32">
        <f>F19/$K$31</f>
        <v>7.6112034769833503</v>
      </c>
      <c r="K39" s="36">
        <f>AVERAGE(F39:J39)</f>
        <v>5.8008556037398789</v>
      </c>
      <c r="M39" s="23"/>
      <c r="N39" s="23"/>
    </row>
    <row r="40" spans="1:14">
      <c r="A40" s="35" t="s">
        <v>83</v>
      </c>
      <c r="B40" s="32"/>
      <c r="C40" s="32"/>
      <c r="D40" s="32"/>
      <c r="E40" s="32"/>
      <c r="F40" s="32">
        <f>B20/$G$31</f>
        <v>0.11940975192472088</v>
      </c>
      <c r="G40" s="32">
        <f>C20/$H$31</f>
        <v>0.13912624584717478</v>
      </c>
      <c r="H40" s="32">
        <f>D20/$I$31</f>
        <v>0.12145301624129817</v>
      </c>
      <c r="I40" s="32">
        <f>E20/$J$31</f>
        <v>2.1761514028586556E-2</v>
      </c>
      <c r="J40" s="32">
        <f>F20/$K$31</f>
        <v>5.4542115572967682E-3</v>
      </c>
      <c r="K40" s="36">
        <f>AVERAGE(F40:J40)</f>
        <v>8.1440947919815432E-2</v>
      </c>
      <c r="M40" s="23"/>
      <c r="N40" s="23"/>
    </row>
    <row r="41" spans="1:14">
      <c r="A41" s="37" t="s">
        <v>84</v>
      </c>
      <c r="B41" s="38"/>
      <c r="C41" s="38"/>
      <c r="D41" s="38"/>
      <c r="E41" s="38"/>
      <c r="F41" s="38">
        <f>B21/$G$31</f>
        <v>4.1766467065868264E-2</v>
      </c>
      <c r="G41" s="38">
        <f>C21/$H$31</f>
        <v>4.8662790697674416E-2</v>
      </c>
      <c r="H41" s="38">
        <f>D21/$I$31</f>
        <v>4.2481148491879346E-2</v>
      </c>
      <c r="I41" s="38">
        <f>E21/$J$31</f>
        <v>6.2497353096876658E-2</v>
      </c>
      <c r="J41" s="38">
        <f>F21/$K$31</f>
        <v>3.292360430950049E-2</v>
      </c>
      <c r="K41" s="39">
        <f>AVERAGE(F41:J41)</f>
        <v>4.5666272732359833E-2</v>
      </c>
    </row>
    <row r="42" spans="1:14">
      <c r="A42" s="32"/>
      <c r="B42" s="32"/>
      <c r="C42" s="32"/>
      <c r="D42" s="32"/>
      <c r="E42" s="32"/>
      <c r="F42" s="32"/>
      <c r="G42" s="32"/>
      <c r="H42" s="32"/>
      <c r="I42" s="32"/>
      <c r="J42" s="32"/>
    </row>
    <row r="43" spans="1:14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4">
      <c r="A44" s="5" t="s">
        <v>101</v>
      </c>
      <c r="B44" s="24"/>
      <c r="C44" s="24"/>
      <c r="D44" s="24"/>
      <c r="E44" s="24"/>
      <c r="F44" s="24"/>
      <c r="G44" s="24"/>
      <c r="H44" s="24"/>
      <c r="I44" s="24"/>
      <c r="J44" s="23"/>
    </row>
    <row r="45" spans="1:14">
      <c r="A45" s="16"/>
      <c r="B45" s="12">
        <v>2004</v>
      </c>
      <c r="C45" s="12">
        <v>2005</v>
      </c>
      <c r="D45" s="12">
        <v>2006</v>
      </c>
      <c r="E45" s="12">
        <v>2007</v>
      </c>
      <c r="F45" s="12">
        <v>2008</v>
      </c>
      <c r="G45" s="12">
        <v>2009</v>
      </c>
      <c r="H45" s="12">
        <v>2010</v>
      </c>
      <c r="I45" s="12">
        <v>2011</v>
      </c>
      <c r="J45" s="12">
        <v>2012</v>
      </c>
      <c r="K45" s="12">
        <v>2013</v>
      </c>
      <c r="L45" s="12">
        <v>2014</v>
      </c>
      <c r="M45" s="12">
        <v>2015</v>
      </c>
      <c r="N45" s="12">
        <v>2016</v>
      </c>
    </row>
    <row r="46" spans="1:14">
      <c r="A46" s="35" t="s">
        <v>81</v>
      </c>
      <c r="B46" s="21">
        <f>K38*$C$31</f>
        <v>4753.7856640800237</v>
      </c>
      <c r="C46" s="21">
        <f>K38*$D$31</f>
        <v>5129.9355501386299</v>
      </c>
      <c r="D46" s="21">
        <f>K38*$E$31</f>
        <v>5412.4734736034643</v>
      </c>
      <c r="E46" s="21">
        <f>K38*$F$31</f>
        <v>5506.0854361972351</v>
      </c>
      <c r="F46" s="40">
        <f t="shared" ref="F46:J49" si="2">B18</f>
        <v>6093.1636363636353</v>
      </c>
      <c r="G46" s="40">
        <f t="shared" si="2"/>
        <v>6093.1636363636353</v>
      </c>
      <c r="H46" s="40">
        <f t="shared" si="2"/>
        <v>6093.1636363636353</v>
      </c>
      <c r="I46" s="40">
        <f t="shared" si="2"/>
        <v>6388.6909090909094</v>
      </c>
      <c r="J46" s="40">
        <f t="shared" si="2"/>
        <v>5269.4181818181814</v>
      </c>
      <c r="K46" s="21">
        <f>$K$38*L31</f>
        <v>3989.5716421781513</v>
      </c>
      <c r="L46" s="21">
        <f>$K$38*M31</f>
        <v>7294.9249395800152</v>
      </c>
      <c r="M46" s="21">
        <f>$K$38*N31</f>
        <v>7228.5455479226148</v>
      </c>
      <c r="N46" s="21">
        <f>$K$38*O31</f>
        <v>7786.8132521181924</v>
      </c>
    </row>
    <row r="47" spans="1:14">
      <c r="A47" s="35" t="s">
        <v>90</v>
      </c>
      <c r="B47" s="21">
        <f>K39*$C$31</f>
        <v>16201.789701245481</v>
      </c>
      <c r="C47" s="21">
        <f>K39*$D$31</f>
        <v>17483.778789671996</v>
      </c>
      <c r="D47" s="21">
        <f>K39*$E$31</f>
        <v>18446.720819892817</v>
      </c>
      <c r="E47" s="21">
        <f>K39*$F$31</f>
        <v>18765.767878098508</v>
      </c>
      <c r="F47" s="40">
        <f t="shared" si="2"/>
        <v>16643.475000000002</v>
      </c>
      <c r="G47" s="40">
        <f t="shared" si="2"/>
        <v>16643.475000000002</v>
      </c>
      <c r="H47" s="40">
        <f t="shared" si="2"/>
        <v>16643.475000000002</v>
      </c>
      <c r="I47" s="40">
        <f t="shared" si="2"/>
        <v>23767.02</v>
      </c>
      <c r="J47" s="40">
        <f t="shared" si="2"/>
        <v>31084.155000000002</v>
      </c>
      <c r="K47" s="21">
        <f>$K$39*L31</f>
        <v>13597.205535166277</v>
      </c>
      <c r="L47" s="21">
        <f>$K$39*M31</f>
        <v>24862.467117629119</v>
      </c>
      <c r="M47" s="21">
        <f>$K$39*N31</f>
        <v>24636.233749083265</v>
      </c>
      <c r="N47" s="21">
        <f>$K$39*O31</f>
        <v>26538.914387109944</v>
      </c>
    </row>
    <row r="48" spans="1:14">
      <c r="A48" s="35" t="s">
        <v>83</v>
      </c>
      <c r="B48" s="21">
        <f>K40*$C$31</f>
        <v>227.4645675400445</v>
      </c>
      <c r="C48" s="21">
        <f>K40*$D$31</f>
        <v>245.4630170303237</v>
      </c>
      <c r="D48" s="21">
        <f>K40*$E$31</f>
        <v>258.98221438501309</v>
      </c>
      <c r="E48" s="21">
        <f>K40*$F$31</f>
        <v>263.46146652060293</v>
      </c>
      <c r="F48" s="40">
        <f t="shared" si="2"/>
        <v>418.76999999999612</v>
      </c>
      <c r="G48" s="40">
        <f t="shared" si="2"/>
        <v>418.76999999999612</v>
      </c>
      <c r="H48" s="40">
        <f t="shared" si="2"/>
        <v>418.76999999999612</v>
      </c>
      <c r="I48" s="40">
        <f t="shared" si="2"/>
        <v>82.215000000000003</v>
      </c>
      <c r="J48" s="40">
        <f t="shared" si="2"/>
        <v>22.275000000000002</v>
      </c>
      <c r="K48" s="21">
        <f>$K$40*L31</f>
        <v>190.89758192404736</v>
      </c>
      <c r="L48" s="21">
        <f>$K$40*M31</f>
        <v>349.05590278432896</v>
      </c>
      <c r="M48" s="21">
        <f>$K$40*N31</f>
        <v>345.87970581545613</v>
      </c>
      <c r="N48" s="21">
        <f>$K$40*O31</f>
        <v>372.59233673315561</v>
      </c>
    </row>
    <row r="49" spans="1:14">
      <c r="A49" s="37" t="s">
        <v>84</v>
      </c>
      <c r="B49" s="41">
        <f>K41*$C$31</f>
        <v>127.54589974148101</v>
      </c>
      <c r="C49" s="41">
        <f>K41*$D$31</f>
        <v>137.63814601533252</v>
      </c>
      <c r="D49" s="41">
        <f>K41*$E$31</f>
        <v>145.21874728890427</v>
      </c>
      <c r="E49" s="41">
        <f>K41*$F$31</f>
        <v>147.73039228918407</v>
      </c>
      <c r="F49" s="42">
        <f t="shared" si="2"/>
        <v>146.47499999999999</v>
      </c>
      <c r="G49" s="42">
        <f t="shared" si="2"/>
        <v>146.47499999999999</v>
      </c>
      <c r="H49" s="42">
        <f t="shared" si="2"/>
        <v>146.47499999999999</v>
      </c>
      <c r="I49" s="42">
        <f t="shared" si="2"/>
        <v>236.11500000000001</v>
      </c>
      <c r="J49" s="42">
        <f t="shared" si="2"/>
        <v>134.46</v>
      </c>
      <c r="K49" s="41">
        <f>$K$41*L31</f>
        <v>107.04174328465145</v>
      </c>
      <c r="L49" s="41">
        <f>$K$41*M31</f>
        <v>195.72564493089425</v>
      </c>
      <c r="M49" s="41">
        <f>$K$41*N31</f>
        <v>193.94466029433221</v>
      </c>
      <c r="N49" s="41">
        <f>$K$41*O31</f>
        <v>208.92319775054625</v>
      </c>
    </row>
    <row r="50" spans="1:14">
      <c r="A50" s="32"/>
      <c r="B50" s="32"/>
      <c r="C50" s="32"/>
      <c r="D50" s="32"/>
      <c r="E50" s="32"/>
      <c r="F50" s="32"/>
      <c r="G50" s="32"/>
      <c r="H50" s="32"/>
      <c r="I50" s="32"/>
      <c r="J50" s="32"/>
    </row>
    <row r="52" spans="1:14">
      <c r="A52" s="8" t="s">
        <v>116</v>
      </c>
    </row>
    <row r="53" spans="1:14">
      <c r="A53" s="43"/>
      <c r="B53" s="12">
        <v>2004</v>
      </c>
      <c r="C53" s="12">
        <v>2005</v>
      </c>
      <c r="D53" s="12">
        <v>2006</v>
      </c>
      <c r="E53" s="12">
        <v>2007</v>
      </c>
      <c r="F53" s="12">
        <v>2008</v>
      </c>
      <c r="G53" s="12">
        <v>2009</v>
      </c>
      <c r="H53" s="12">
        <v>2010</v>
      </c>
      <c r="I53" s="12">
        <v>2011</v>
      </c>
      <c r="J53" s="12">
        <v>2012</v>
      </c>
      <c r="K53" s="12">
        <v>2013</v>
      </c>
      <c r="L53" s="12">
        <v>2014</v>
      </c>
      <c r="M53" s="12">
        <v>2015</v>
      </c>
      <c r="N53" s="12">
        <v>2016</v>
      </c>
    </row>
    <row r="54" spans="1:14">
      <c r="A54" s="22" t="s">
        <v>81</v>
      </c>
      <c r="B54" s="21">
        <f t="shared" ref="B54:N54" si="3">B46*(44/12)*$B$5</f>
        <v>16709.954971168441</v>
      </c>
      <c r="C54" s="21">
        <f t="shared" si="3"/>
        <v>18032.153341604619</v>
      </c>
      <c r="D54" s="21">
        <f t="shared" si="3"/>
        <v>19025.297818945808</v>
      </c>
      <c r="E54" s="21">
        <f t="shared" si="3"/>
        <v>19354.351712040785</v>
      </c>
      <c r="F54" s="21">
        <f t="shared" si="3"/>
        <v>21417.980782122901</v>
      </c>
      <c r="G54" s="21">
        <f t="shared" si="3"/>
        <v>21417.980782122901</v>
      </c>
      <c r="H54" s="21">
        <f t="shared" si="3"/>
        <v>21417.980782122901</v>
      </c>
      <c r="I54" s="21">
        <f t="shared" si="3"/>
        <v>22456.783910614529</v>
      </c>
      <c r="J54" s="21">
        <f t="shared" si="3"/>
        <v>18522.446480446928</v>
      </c>
      <c r="K54" s="21">
        <f t="shared" si="3"/>
        <v>14023.678643902194</v>
      </c>
      <c r="L54" s="21">
        <f t="shared" si="3"/>
        <v>25642.272469182935</v>
      </c>
      <c r="M54" s="21">
        <f t="shared" si="3"/>
        <v>25408.943344988322</v>
      </c>
      <c r="N54" s="21">
        <f t="shared" si="3"/>
        <v>27371.301107445626</v>
      </c>
    </row>
    <row r="55" spans="1:14">
      <c r="A55" s="22" t="s">
        <v>90</v>
      </c>
      <c r="B55" s="21">
        <f t="shared" ref="B55:N55" si="4">B47*(44/12)*$B$6</f>
        <v>154457.06181854027</v>
      </c>
      <c r="C55" s="21">
        <f t="shared" si="4"/>
        <v>166678.69112820638</v>
      </c>
      <c r="D55" s="21">
        <f t="shared" si="4"/>
        <v>175858.73848297819</v>
      </c>
      <c r="E55" s="21">
        <f t="shared" si="4"/>
        <v>178900.32043787243</v>
      </c>
      <c r="F55" s="21">
        <f t="shared" si="4"/>
        <v>158667.79500000001</v>
      </c>
      <c r="G55" s="21">
        <f t="shared" si="4"/>
        <v>158667.79500000001</v>
      </c>
      <c r="H55" s="21">
        <f t="shared" si="4"/>
        <v>158667.79500000001</v>
      </c>
      <c r="I55" s="21">
        <f t="shared" si="4"/>
        <v>226578.92400000003</v>
      </c>
      <c r="J55" s="21">
        <f t="shared" si="4"/>
        <v>296335.61100000003</v>
      </c>
      <c r="K55" s="21">
        <f t="shared" si="4"/>
        <v>129626.69276858517</v>
      </c>
      <c r="L55" s="21">
        <f t="shared" si="4"/>
        <v>237022.18652139758</v>
      </c>
      <c r="M55" s="21">
        <f t="shared" si="4"/>
        <v>234865.42840792713</v>
      </c>
      <c r="N55" s="21">
        <f t="shared" si="4"/>
        <v>253004.31715711483</v>
      </c>
    </row>
    <row r="56" spans="1:14">
      <c r="A56" s="22" t="s">
        <v>102</v>
      </c>
      <c r="B56" s="21">
        <f t="shared" ref="B56:N56" si="5">B48*(44/12)*$B$7</f>
        <v>2835.7249419992213</v>
      </c>
      <c r="C56" s="21">
        <f t="shared" si="5"/>
        <v>3060.1056123113685</v>
      </c>
      <c r="D56" s="21">
        <f t="shared" si="5"/>
        <v>3228.6449393331627</v>
      </c>
      <c r="E56" s="21">
        <f t="shared" si="5"/>
        <v>3284.4862826235162</v>
      </c>
      <c r="F56" s="21">
        <f t="shared" si="5"/>
        <v>5220.6659999999511</v>
      </c>
      <c r="G56" s="21">
        <f t="shared" si="5"/>
        <v>5220.6659999999511</v>
      </c>
      <c r="H56" s="21">
        <f t="shared" si="5"/>
        <v>5220.6659999999511</v>
      </c>
      <c r="I56" s="21">
        <f t="shared" si="5"/>
        <v>1024.9469999999999</v>
      </c>
      <c r="J56" s="21">
        <f t="shared" si="5"/>
        <v>277.69500000000005</v>
      </c>
      <c r="K56" s="21">
        <f t="shared" si="5"/>
        <v>2379.8565213197903</v>
      </c>
      <c r="L56" s="21">
        <f t="shared" si="5"/>
        <v>4351.5635880446343</v>
      </c>
      <c r="M56" s="21">
        <f t="shared" si="5"/>
        <v>4311.9669991660194</v>
      </c>
      <c r="N56" s="21">
        <f t="shared" si="5"/>
        <v>4644.9844646066731</v>
      </c>
    </row>
    <row r="57" spans="1:14">
      <c r="A57" s="22" t="s">
        <v>84</v>
      </c>
      <c r="B57" s="21">
        <f t="shared" ref="B57:N57" si="6">B49*(44/12)*$B$8</f>
        <v>2852.7766242177918</v>
      </c>
      <c r="C57" s="21">
        <f t="shared" si="6"/>
        <v>3078.5065325429373</v>
      </c>
      <c r="D57" s="21">
        <f t="shared" si="6"/>
        <v>3248.0593143618253</v>
      </c>
      <c r="E57" s="21">
        <f t="shared" si="6"/>
        <v>3304.2364408680833</v>
      </c>
      <c r="F57" s="21">
        <f t="shared" si="6"/>
        <v>3276.1574999999993</v>
      </c>
      <c r="G57" s="21">
        <f t="shared" si="6"/>
        <v>3276.1574999999993</v>
      </c>
      <c r="H57" s="21">
        <f t="shared" si="6"/>
        <v>3276.1574999999993</v>
      </c>
      <c r="I57" s="21">
        <f t="shared" si="6"/>
        <v>5281.1054999999997</v>
      </c>
      <c r="J57" s="21">
        <f t="shared" si="6"/>
        <v>3007.4219999999996</v>
      </c>
      <c r="K57" s="21">
        <f t="shared" si="6"/>
        <v>2394.1669914667036</v>
      </c>
      <c r="L57" s="21">
        <f t="shared" si="6"/>
        <v>4377.7302582876673</v>
      </c>
      <c r="M57" s="21">
        <f t="shared" si="6"/>
        <v>4337.8955685832298</v>
      </c>
      <c r="N57" s="21">
        <f t="shared" si="6"/>
        <v>4672.9155230205506</v>
      </c>
    </row>
    <row r="58" spans="1:14">
      <c r="A58" s="22" t="s">
        <v>103</v>
      </c>
      <c r="C58" s="21">
        <f>SUM($B$54:$B$57)*$B$12</f>
        <v>132641.63876694429</v>
      </c>
      <c r="D58" s="21">
        <f>SUM($B$54:$B$57)*$B$12</f>
        <v>132641.63876694429</v>
      </c>
      <c r="E58" s="21">
        <f>SUM($B$54:$B$57)*$B$12</f>
        <v>132641.63876694429</v>
      </c>
      <c r="F58" s="21">
        <f>SUM($B$54:$B$57)*$B$12</f>
        <v>132641.63876694429</v>
      </c>
      <c r="G58" s="21">
        <f>SUM($B$54:$B$57)*$B$12</f>
        <v>132641.63876694429</v>
      </c>
      <c r="H58" s="21">
        <f t="shared" ref="H58:N58" si="7">SUM($B$54:$B$57)*$B$13</f>
        <v>88427.759177962871</v>
      </c>
      <c r="I58" s="21">
        <f t="shared" si="7"/>
        <v>88427.759177962871</v>
      </c>
      <c r="J58" s="21">
        <f t="shared" si="7"/>
        <v>88427.759177962871</v>
      </c>
      <c r="K58" s="21">
        <f t="shared" si="7"/>
        <v>88427.759177962871</v>
      </c>
      <c r="L58" s="21">
        <f t="shared" si="7"/>
        <v>88427.759177962871</v>
      </c>
      <c r="M58" s="21">
        <f t="shared" si="7"/>
        <v>88427.759177962871</v>
      </c>
      <c r="N58" s="21">
        <f t="shared" si="7"/>
        <v>88427.759177962871</v>
      </c>
    </row>
    <row r="59" spans="1:14">
      <c r="A59" s="22" t="s">
        <v>104</v>
      </c>
      <c r="D59" s="21">
        <f>SUM($C$54:$C$57)*$B$12</f>
        <v>143137.09246099897</v>
      </c>
      <c r="E59" s="21">
        <f>SUM($C$54:$C$57)*$B$12</f>
        <v>143137.09246099897</v>
      </c>
      <c r="F59" s="21">
        <f>SUM($C$54:$C$57)*$B$12</f>
        <v>143137.09246099897</v>
      </c>
      <c r="G59" s="21">
        <f>SUM($C$54:$C$57)*$B$12</f>
        <v>143137.09246099897</v>
      </c>
      <c r="H59" s="21">
        <f>SUM($C$54:$C$57)*$B$12</f>
        <v>143137.09246099897</v>
      </c>
      <c r="I59" s="21">
        <f t="shared" ref="I59:N59" si="8">SUM($C$54:$C$57)*$B$13</f>
        <v>95424.728307332654</v>
      </c>
      <c r="J59" s="21">
        <f t="shared" si="8"/>
        <v>95424.728307332654</v>
      </c>
      <c r="K59" s="21">
        <f t="shared" si="8"/>
        <v>95424.728307332654</v>
      </c>
      <c r="L59" s="21">
        <f t="shared" si="8"/>
        <v>95424.728307332654</v>
      </c>
      <c r="M59" s="21">
        <f t="shared" si="8"/>
        <v>95424.728307332654</v>
      </c>
      <c r="N59" s="21">
        <f t="shared" si="8"/>
        <v>95424.728307332654</v>
      </c>
    </row>
    <row r="60" spans="1:14">
      <c r="A60" s="22" t="s">
        <v>105</v>
      </c>
      <c r="E60" s="21">
        <f>SUM($D$54:$D$57)*$B$12</f>
        <v>151020.55541671425</v>
      </c>
      <c r="F60" s="21">
        <f>SUM($D$54:$D$57)*$B$12</f>
        <v>151020.55541671425</v>
      </c>
      <c r="G60" s="21">
        <f>SUM($D$54:$D$57)*$B$12</f>
        <v>151020.55541671425</v>
      </c>
      <c r="H60" s="21">
        <f>SUM($D$54:$D$57)*$B$12</f>
        <v>151020.55541671425</v>
      </c>
      <c r="I60" s="21">
        <f>SUM($D$54:$D$57)*$B$12</f>
        <v>151020.55541671425</v>
      </c>
      <c r="J60" s="21">
        <f>SUM($D$54:$D$57)*$B$13</f>
        <v>100680.3702778095</v>
      </c>
      <c r="K60" s="21">
        <f>SUM($D$54:$D$57)*$B$13</f>
        <v>100680.3702778095</v>
      </c>
      <c r="L60" s="21">
        <f>SUM($D$54:$D$57)*$B$13</f>
        <v>100680.3702778095</v>
      </c>
      <c r="M60" s="21">
        <f>SUM($D$54:$D$57)*$B$13</f>
        <v>100680.3702778095</v>
      </c>
      <c r="N60" s="21">
        <f>SUM($D$54:$D$57)*$B$13</f>
        <v>100680.3702778095</v>
      </c>
    </row>
    <row r="61" spans="1:14">
      <c r="A61" s="22" t="s">
        <v>106</v>
      </c>
      <c r="F61" s="21">
        <f>SUM($E$54:$E$57)*$B$12</f>
        <v>153632.5461550536</v>
      </c>
      <c r="G61" s="21">
        <f>SUM($E$54:$E$57)*$B$12</f>
        <v>153632.5461550536</v>
      </c>
      <c r="H61" s="21">
        <f>SUM($E$54:$E$57)*$B$12</f>
        <v>153632.5461550536</v>
      </c>
      <c r="I61" s="21">
        <f>SUM($E$54:$E$57)*$B$12</f>
        <v>153632.5461550536</v>
      </c>
      <c r="J61" s="21">
        <f>SUM($E$54:$E$57)*$B$12</f>
        <v>153632.5461550536</v>
      </c>
      <c r="K61" s="21">
        <f>SUM($E$54:$E$57)*$B$13</f>
        <v>102421.69743670241</v>
      </c>
      <c r="L61" s="21">
        <f>SUM($E$54:$E$57)*$B$13</f>
        <v>102421.69743670241</v>
      </c>
      <c r="M61" s="21">
        <f>SUM($E$54:$E$57)*$B$13</f>
        <v>102421.69743670241</v>
      </c>
      <c r="N61" s="21">
        <f>SUM($E$54:$E$57)*$B$13</f>
        <v>102421.69743670241</v>
      </c>
    </row>
    <row r="62" spans="1:14">
      <c r="A62" s="22" t="s">
        <v>107</v>
      </c>
      <c r="G62" s="21">
        <f>SUM($F$54:$F$57)*$B$12</f>
        <v>141436.94946159213</v>
      </c>
      <c r="H62" s="21">
        <f>SUM($F$54:$F$57)*$B$12</f>
        <v>141436.94946159213</v>
      </c>
      <c r="I62" s="21">
        <f>SUM($F$54:$F$57)*$B$12</f>
        <v>141436.94946159213</v>
      </c>
      <c r="J62" s="21">
        <f>SUM($F$54:$F$57)*$B$12</f>
        <v>141436.94946159213</v>
      </c>
      <c r="K62" s="21">
        <f>SUM($F$54:$F$57)*$B$12</f>
        <v>141436.94946159213</v>
      </c>
      <c r="L62" s="21">
        <f>SUM($F$54:$F$57)*$B$13</f>
        <v>94291.299641061429</v>
      </c>
      <c r="M62" s="21">
        <f>SUM($F$54:$F$57)*$B$13</f>
        <v>94291.299641061429</v>
      </c>
      <c r="N62" s="21">
        <f>SUM($F$54:$F$57)*$B$13</f>
        <v>94291.299641061429</v>
      </c>
    </row>
    <row r="63" spans="1:14">
      <c r="A63" s="22" t="s">
        <v>108</v>
      </c>
      <c r="H63" s="21">
        <f>SUM($G$54:$G$57)*$B$12</f>
        <v>141436.94946159213</v>
      </c>
      <c r="I63" s="21">
        <f>SUM($G$54:$G$57)*$B$12</f>
        <v>141436.94946159213</v>
      </c>
      <c r="J63" s="21">
        <f>SUM($G$54:$G$57)*$B$12</f>
        <v>141436.94946159213</v>
      </c>
      <c r="K63" s="21">
        <f>SUM($G$54:$G$57)*$B$12</f>
        <v>141436.94946159213</v>
      </c>
      <c r="L63" s="21">
        <f>SUM($G$54:$G$57)*$B$12</f>
        <v>141436.94946159213</v>
      </c>
      <c r="M63" s="21">
        <f>SUM($G$54:$G$57)*$B$13</f>
        <v>94291.299641061429</v>
      </c>
      <c r="N63" s="21">
        <f>SUM($G$54:$G$57)*$B$13</f>
        <v>94291.299641061429</v>
      </c>
    </row>
    <row r="64" spans="1:14">
      <c r="A64" s="22" t="s">
        <v>109</v>
      </c>
      <c r="I64" s="21">
        <f>SUM($H$54:$H$57)*$B$12</f>
        <v>141436.94946159213</v>
      </c>
      <c r="J64" s="21">
        <f>SUM($H$54:$H$57)*$B$12</f>
        <v>141436.94946159213</v>
      </c>
      <c r="K64" s="21">
        <f>SUM($H$54:$H$57)*$B$12</f>
        <v>141436.94946159213</v>
      </c>
      <c r="L64" s="21">
        <f>SUM($H$54:$H$57)*$B$12</f>
        <v>141436.94946159213</v>
      </c>
      <c r="M64" s="21">
        <f>SUM($H$54:$H$57)*$B$12</f>
        <v>141436.94946159213</v>
      </c>
      <c r="N64" s="21">
        <f>SUM($H$54:$H$57)*$B$13</f>
        <v>94291.299641061429</v>
      </c>
    </row>
    <row r="65" spans="1:14">
      <c r="A65" s="22" t="s">
        <v>110</v>
      </c>
      <c r="J65" s="21">
        <f>SUM($I$54:$I$57)*$B$12</f>
        <v>191506.32030796091</v>
      </c>
      <c r="K65" s="21">
        <f>SUM($I$54:$I$57)*$B$12</f>
        <v>191506.32030796091</v>
      </c>
      <c r="L65" s="21">
        <f>SUM($I$54:$I$57)*$B$12</f>
        <v>191506.32030796091</v>
      </c>
      <c r="M65" s="21">
        <f>SUM($I$54:$I$57)*$B$12</f>
        <v>191506.32030796091</v>
      </c>
      <c r="N65" s="21">
        <f>SUM($I$54:$I$57)*$B$12</f>
        <v>191506.32030796091</v>
      </c>
    </row>
    <row r="66" spans="1:14">
      <c r="A66" s="22" t="s">
        <v>111</v>
      </c>
      <c r="K66" s="21">
        <f>SUM($J$54:$J$57)*$B$12</f>
        <v>238607.38086033522</v>
      </c>
      <c r="L66" s="21">
        <f>SUM($J$54:$J$57)*$B$12</f>
        <v>238607.38086033522</v>
      </c>
      <c r="M66" s="21">
        <f>SUM($J$54:$J$57)*$B$12</f>
        <v>238607.38086033522</v>
      </c>
      <c r="N66" s="21">
        <f>SUM($J$54:$J$57)*$B$12</f>
        <v>238607.38086033522</v>
      </c>
    </row>
    <row r="67" spans="1:14">
      <c r="A67" s="22" t="s">
        <v>112</v>
      </c>
      <c r="L67" s="21">
        <f>SUM($K$54:$K$57)*$B$12</f>
        <v>111318.29619395541</v>
      </c>
      <c r="M67" s="21">
        <f>SUM($K$54:$K$57)*$B$12</f>
        <v>111318.29619395541</v>
      </c>
      <c r="N67" s="21">
        <f>SUM($K$54:$K$57)*$B$12</f>
        <v>111318.29619395541</v>
      </c>
    </row>
    <row r="68" spans="1:14">
      <c r="A68" s="22" t="s">
        <v>113</v>
      </c>
      <c r="M68" s="21">
        <f>SUM($L$54:$L$57)*$B$12</f>
        <v>203545.31462768459</v>
      </c>
      <c r="N68" s="21">
        <f>SUM($L$54:$L$57)*$B$12</f>
        <v>203545.31462768459</v>
      </c>
    </row>
    <row r="69" spans="1:14">
      <c r="A69" s="22" t="s">
        <v>114</v>
      </c>
      <c r="N69" s="21">
        <f>SUM(M54:M57)*B12</f>
        <v>201693.1757404985</v>
      </c>
    </row>
    <row r="70" spans="1:14" s="7" customFormat="1" ht="15" thickBot="1">
      <c r="A70" s="18" t="s">
        <v>15</v>
      </c>
      <c r="B70" s="19">
        <f t="shared" ref="B70:N70" si="9">SUM(B54:B69)</f>
        <v>176855.51835592574</v>
      </c>
      <c r="C70" s="19">
        <f t="shared" si="9"/>
        <v>323491.09538160963</v>
      </c>
      <c r="D70" s="19">
        <f t="shared" si="9"/>
        <v>477139.47178356227</v>
      </c>
      <c r="E70" s="19">
        <f t="shared" si="9"/>
        <v>631642.68151806237</v>
      </c>
      <c r="F70" s="19">
        <f t="shared" si="9"/>
        <v>769014.43208183395</v>
      </c>
      <c r="G70" s="19">
        <f t="shared" si="9"/>
        <v>910451.38154342608</v>
      </c>
      <c r="H70" s="19">
        <f t="shared" si="9"/>
        <v>1007674.4514160368</v>
      </c>
      <c r="I70" s="19">
        <f t="shared" si="9"/>
        <v>1168158.1978524544</v>
      </c>
      <c r="J70" s="19">
        <f t="shared" si="9"/>
        <v>1372125.7470913429</v>
      </c>
      <c r="K70" s="19">
        <f t="shared" si="9"/>
        <v>1389803.4996781538</v>
      </c>
      <c r="L70" s="19">
        <f t="shared" si="9"/>
        <v>1576945.5039632176</v>
      </c>
      <c r="M70" s="19">
        <f t="shared" si="9"/>
        <v>1730875.6502541234</v>
      </c>
      <c r="N70" s="19">
        <f t="shared" si="9"/>
        <v>1906192.4601056143</v>
      </c>
    </row>
    <row r="71" spans="1:14" ht="15" thickTop="1"/>
    <row r="73" spans="1:14">
      <c r="A73" s="8" t="s">
        <v>115</v>
      </c>
    </row>
    <row r="74" spans="1:14">
      <c r="A74" s="9"/>
      <c r="B74" s="12">
        <v>2011</v>
      </c>
      <c r="C74" s="12">
        <v>2012</v>
      </c>
      <c r="D74" s="12">
        <v>2013</v>
      </c>
      <c r="E74" s="12">
        <v>2014</v>
      </c>
      <c r="F74" s="12">
        <v>2015</v>
      </c>
      <c r="G74" s="12">
        <v>2016</v>
      </c>
    </row>
    <row r="75" spans="1:14">
      <c r="A75" s="20" t="s">
        <v>545</v>
      </c>
      <c r="B75" s="44">
        <f t="shared" ref="B75:E75" si="10">I70</f>
        <v>1168158.1978524544</v>
      </c>
      <c r="C75" s="44">
        <f t="shared" si="10"/>
        <v>1372125.7470913429</v>
      </c>
      <c r="D75" s="44">
        <f t="shared" si="10"/>
        <v>1389803.4996781538</v>
      </c>
      <c r="E75" s="44">
        <f t="shared" si="10"/>
        <v>1576945.5039632176</v>
      </c>
      <c r="F75" s="44">
        <f>M70</f>
        <v>1730875.6502541234</v>
      </c>
      <c r="G75" s="44">
        <f>N70</f>
        <v>1906192.4601056143</v>
      </c>
    </row>
  </sheetData>
  <hyperlinks>
    <hyperlink ref="A1" location="'T-25 Agroforestry'!A1" display="Table T-25: Agroforestry carbon stock change, omitted flux estimate"/>
  </hyperlink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F20"/>
  <sheetViews>
    <sheetView workbookViewId="0">
      <selection activeCell="A2" sqref="A2"/>
    </sheetView>
  </sheetViews>
  <sheetFormatPr defaultColWidth="11.6328125" defaultRowHeight="14"/>
  <cols>
    <col min="1" max="1" width="36.1796875" style="48" customWidth="1"/>
    <col min="2" max="2" width="24.1796875" style="48" customWidth="1"/>
    <col min="3" max="3" width="28.6328125" style="48" customWidth="1"/>
    <col min="4" max="4" width="24.81640625" style="48" customWidth="1"/>
    <col min="5" max="5" width="23.1796875" style="48" customWidth="1"/>
    <col min="6" max="6" width="20.6328125" style="48" customWidth="1"/>
    <col min="7" max="11" width="11.6328125" style="48"/>
    <col min="12" max="12" width="14.453125" style="48" customWidth="1"/>
    <col min="13" max="13" width="15.453125" style="48" customWidth="1"/>
    <col min="14" max="16384" width="11.6328125" style="48"/>
  </cols>
  <sheetData>
    <row r="1" spans="1:6">
      <c r="A1" s="235" t="s">
        <v>591</v>
      </c>
      <c r="B1" s="69"/>
    </row>
    <row r="3" spans="1:6" ht="14.5" thickBot="1">
      <c r="A3" s="135" t="s">
        <v>333</v>
      </c>
      <c r="B3" s="136"/>
      <c r="C3" s="136"/>
      <c r="D3" s="136"/>
    </row>
    <row r="4" spans="1:6">
      <c r="A4" s="68" t="s">
        <v>332</v>
      </c>
      <c r="B4" s="133" t="s">
        <v>117</v>
      </c>
      <c r="C4" s="133" t="s">
        <v>331</v>
      </c>
      <c r="D4" s="133" t="s">
        <v>330</v>
      </c>
      <c r="E4" s="69"/>
    </row>
    <row r="5" spans="1:6" ht="28">
      <c r="A5" s="69" t="s">
        <v>329</v>
      </c>
      <c r="B5" s="134">
        <v>141000</v>
      </c>
      <c r="C5" s="69" t="s">
        <v>328</v>
      </c>
      <c r="D5" s="69" t="s">
        <v>327</v>
      </c>
    </row>
    <row r="6" spans="1:6" ht="28">
      <c r="A6" s="69" t="s">
        <v>326</v>
      </c>
      <c r="B6" s="69">
        <v>2300</v>
      </c>
      <c r="C6" s="69" t="s">
        <v>325</v>
      </c>
      <c r="D6" s="69" t="s">
        <v>317</v>
      </c>
    </row>
    <row r="7" spans="1:6" ht="28">
      <c r="A7" s="69" t="s">
        <v>324</v>
      </c>
      <c r="B7" s="69">
        <v>210</v>
      </c>
      <c r="C7" s="69" t="s">
        <v>323</v>
      </c>
      <c r="D7" s="69" t="s">
        <v>317</v>
      </c>
    </row>
    <row r="8" spans="1:6" ht="28">
      <c r="A8" s="69" t="s">
        <v>322</v>
      </c>
      <c r="B8" s="69">
        <v>14.3</v>
      </c>
      <c r="C8" s="69" t="s">
        <v>321</v>
      </c>
      <c r="D8" s="69" t="s">
        <v>320</v>
      </c>
    </row>
    <row r="9" spans="1:6" ht="28">
      <c r="A9" s="69" t="s">
        <v>319</v>
      </c>
      <c r="B9" s="69">
        <v>4.0999999999999996</v>
      </c>
      <c r="C9" s="69" t="s">
        <v>318</v>
      </c>
      <c r="D9" s="69" t="s">
        <v>317</v>
      </c>
    </row>
    <row r="10" spans="1:6" ht="42">
      <c r="A10" s="69" t="s">
        <v>316</v>
      </c>
      <c r="B10" s="69">
        <v>1</v>
      </c>
      <c r="C10" s="69" t="s">
        <v>315</v>
      </c>
      <c r="D10" s="69" t="s">
        <v>314</v>
      </c>
    </row>
    <row r="11" spans="1:6" ht="28">
      <c r="A11" s="69" t="s">
        <v>313</v>
      </c>
      <c r="B11" s="69">
        <v>25</v>
      </c>
      <c r="C11" s="69" t="s">
        <v>312</v>
      </c>
      <c r="D11" s="69" t="s">
        <v>309</v>
      </c>
    </row>
    <row r="12" spans="1:6" ht="28">
      <c r="A12" s="69" t="s">
        <v>311</v>
      </c>
      <c r="B12" s="69">
        <v>298</v>
      </c>
      <c r="C12" s="69" t="s">
        <v>310</v>
      </c>
      <c r="D12" s="69" t="s">
        <v>309</v>
      </c>
    </row>
    <row r="16" spans="1:6" ht="14.5" thickBot="1">
      <c r="A16" s="137" t="s">
        <v>308</v>
      </c>
      <c r="B16" s="136"/>
      <c r="C16" s="136"/>
      <c r="D16" s="136"/>
      <c r="E16" s="136"/>
      <c r="F16" s="136"/>
    </row>
    <row r="17" spans="1:6" s="69" customFormat="1" ht="28">
      <c r="A17" s="133" t="s">
        <v>307</v>
      </c>
      <c r="B17" s="133" t="s">
        <v>541</v>
      </c>
      <c r="C17" s="133" t="s">
        <v>542</v>
      </c>
      <c r="D17" s="133" t="s">
        <v>306</v>
      </c>
      <c r="E17" s="133" t="s">
        <v>305</v>
      </c>
      <c r="F17" s="133" t="s">
        <v>304</v>
      </c>
    </row>
    <row r="18" spans="1:6">
      <c r="A18" s="48" t="s">
        <v>303</v>
      </c>
      <c r="B18" s="48">
        <f>ROUND(B5*B8*B6/1000000,0)</f>
        <v>4637</v>
      </c>
      <c r="C18" s="48">
        <f>ROUND(B5*B8*B7/1000000,0)</f>
        <v>423</v>
      </c>
      <c r="D18" s="48">
        <f>ROUND(B18*B11/1000000,2)</f>
        <v>0.12</v>
      </c>
      <c r="E18" s="48">
        <f>ROUND(C18*B12/1000000,2)</f>
        <v>0.13</v>
      </c>
      <c r="F18" s="48">
        <f>D18+E18</f>
        <v>0.25</v>
      </c>
    </row>
    <row r="19" spans="1:6">
      <c r="A19" s="48" t="s">
        <v>302</v>
      </c>
      <c r="B19" s="48">
        <f>ROUND(B5*B9*B10*B6/1000000,0)</f>
        <v>1330</v>
      </c>
      <c r="C19" s="48">
        <f>ROUND(B5*B9*B10*B7/1000000,0)</f>
        <v>121</v>
      </c>
      <c r="D19" s="48">
        <f>ROUND(B19*B11/1000000,2)</f>
        <v>0.03</v>
      </c>
      <c r="E19" s="48">
        <f>ROUND(C19*B12/1000000,2)</f>
        <v>0.04</v>
      </c>
      <c r="F19" s="48">
        <f>D19+E19</f>
        <v>7.0000000000000007E-2</v>
      </c>
    </row>
    <row r="20" spans="1:6">
      <c r="A20" s="48" t="s">
        <v>301</v>
      </c>
      <c r="B20" s="48">
        <f>B18-B19</f>
        <v>3307</v>
      </c>
      <c r="C20" s="48">
        <f>C18-C19</f>
        <v>302</v>
      </c>
      <c r="D20" s="48">
        <f>D18-D19</f>
        <v>0.09</v>
      </c>
      <c r="E20" s="48">
        <f>E18-E19</f>
        <v>0.09</v>
      </c>
      <c r="F20" s="48">
        <f>D20+E20</f>
        <v>0.18</v>
      </c>
    </row>
  </sheetData>
  <hyperlinks>
    <hyperlink ref="A1" location="'T-27 Non-CO2 woody biomass'!A1" display="Table T-27: Non-CO2 from woody biomass in grassland fires, omitted flux estimate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D26"/>
  <sheetViews>
    <sheetView zoomScaleNormal="100" zoomScalePageLayoutView="90" workbookViewId="0">
      <selection activeCell="A2" sqref="A2"/>
    </sheetView>
  </sheetViews>
  <sheetFormatPr defaultColWidth="8.81640625" defaultRowHeight="14"/>
  <cols>
    <col min="1" max="1" width="90.453125" style="141" customWidth="1"/>
    <col min="2" max="2" width="15.453125" style="141" customWidth="1"/>
    <col min="3" max="3" width="24" style="141" customWidth="1"/>
    <col min="4" max="4" width="26.453125" style="141" customWidth="1"/>
    <col min="5" max="16384" width="8.81640625" style="141"/>
  </cols>
  <sheetData>
    <row r="1" spans="1:4" s="138" customFormat="1">
      <c r="A1" s="247" t="s">
        <v>592</v>
      </c>
    </row>
    <row r="2" spans="1:4" s="138" customFormat="1"/>
    <row r="4" spans="1:4">
      <c r="A4" s="87" t="s">
        <v>118</v>
      </c>
      <c r="B4" s="139" t="s">
        <v>119</v>
      </c>
      <c r="C4" s="87" t="s">
        <v>120</v>
      </c>
      <c r="D4" s="140" t="s">
        <v>48</v>
      </c>
    </row>
    <row r="5" spans="1:4">
      <c r="A5" s="142" t="s">
        <v>121</v>
      </c>
      <c r="B5" s="143" t="s">
        <v>122</v>
      </c>
      <c r="C5" s="144">
        <v>196164628</v>
      </c>
      <c r="D5" s="141" t="s">
        <v>50</v>
      </c>
    </row>
    <row r="6" spans="1:4">
      <c r="A6" s="142" t="s">
        <v>123</v>
      </c>
      <c r="B6" s="143" t="s">
        <v>124</v>
      </c>
      <c r="C6" s="145">
        <v>7.1</v>
      </c>
      <c r="D6" s="141" t="s">
        <v>125</v>
      </c>
    </row>
    <row r="7" spans="1:4">
      <c r="A7" s="142" t="s">
        <v>126</v>
      </c>
      <c r="B7" s="143" t="s">
        <v>127</v>
      </c>
      <c r="C7" s="142">
        <f>C6/C5</f>
        <v>3.6194088977142199E-8</v>
      </c>
    </row>
    <row r="8" spans="1:4">
      <c r="A8" s="142" t="s">
        <v>128</v>
      </c>
      <c r="B8" s="143" t="s">
        <v>129</v>
      </c>
      <c r="C8" s="144">
        <v>76085807</v>
      </c>
      <c r="D8" s="141" t="s">
        <v>555</v>
      </c>
    </row>
    <row r="9" spans="1:4" ht="14.5" thickBot="1">
      <c r="A9" s="105" t="s">
        <v>25</v>
      </c>
      <c r="B9" s="106" t="s">
        <v>124</v>
      </c>
      <c r="C9" s="107">
        <f>C8*C7</f>
        <v>2.7538564684556688</v>
      </c>
      <c r="D9" s="146"/>
    </row>
    <row r="10" spans="1:4" ht="14.5" thickTop="1">
      <c r="A10" s="142"/>
      <c r="B10" s="143"/>
      <c r="C10" s="142"/>
    </row>
    <row r="11" spans="1:4">
      <c r="A11" s="142" t="s">
        <v>130</v>
      </c>
      <c r="B11" s="143" t="s">
        <v>129</v>
      </c>
      <c r="C11" s="144">
        <v>162540000</v>
      </c>
      <c r="D11" s="141" t="s">
        <v>50</v>
      </c>
    </row>
    <row r="12" spans="1:4">
      <c r="A12" s="142" t="s">
        <v>131</v>
      </c>
      <c r="B12" s="143" t="s">
        <v>124</v>
      </c>
      <c r="C12" s="145">
        <f>168+37.9</f>
        <v>205.9</v>
      </c>
      <c r="D12" s="141" t="s">
        <v>132</v>
      </c>
    </row>
    <row r="13" spans="1:4">
      <c r="A13" s="142" t="s">
        <v>133</v>
      </c>
      <c r="B13" s="143" t="s">
        <v>127</v>
      </c>
      <c r="C13" s="142">
        <f>C12/C11</f>
        <v>1.2667651039744064E-6</v>
      </c>
    </row>
    <row r="14" spans="1:4">
      <c r="A14" s="142" t="s">
        <v>134</v>
      </c>
      <c r="B14" s="143" t="s">
        <v>129</v>
      </c>
      <c r="C14" s="144">
        <v>425600</v>
      </c>
      <c r="D14" s="141" t="s">
        <v>50</v>
      </c>
    </row>
    <row r="15" spans="1:4">
      <c r="A15" s="147" t="s">
        <v>135</v>
      </c>
      <c r="B15" s="148" t="s">
        <v>124</v>
      </c>
      <c r="C15" s="149">
        <f>C14*C13</f>
        <v>0.53913522825150739</v>
      </c>
      <c r="D15" s="150"/>
    </row>
    <row r="16" spans="1:4">
      <c r="A16" s="142"/>
      <c r="B16" s="143"/>
      <c r="C16" s="142"/>
    </row>
    <row r="17" spans="1:4">
      <c r="A17" s="142" t="s">
        <v>136</v>
      </c>
      <c r="B17" s="143" t="s">
        <v>129</v>
      </c>
      <c r="C17" s="144">
        <f>C5</f>
        <v>196164628</v>
      </c>
      <c r="D17" s="141" t="s">
        <v>50</v>
      </c>
    </row>
    <row r="18" spans="1:4">
      <c r="A18" s="142" t="s">
        <v>137</v>
      </c>
      <c r="B18" s="143" t="s">
        <v>124</v>
      </c>
      <c r="C18" s="142">
        <f>69.9+8.1</f>
        <v>78</v>
      </c>
      <c r="D18" s="141" t="s">
        <v>138</v>
      </c>
    </row>
    <row r="19" spans="1:4">
      <c r="A19" s="142" t="s">
        <v>139</v>
      </c>
      <c r="B19" s="143" t="s">
        <v>124</v>
      </c>
      <c r="C19" s="142">
        <f>15.2+8.1</f>
        <v>23.299999999999997</v>
      </c>
      <c r="D19" s="141" t="s">
        <v>140</v>
      </c>
    </row>
    <row r="20" spans="1:4">
      <c r="A20" s="142" t="s">
        <v>141</v>
      </c>
      <c r="B20" s="143"/>
      <c r="C20" s="142">
        <f>C18-C19</f>
        <v>54.7</v>
      </c>
    </row>
    <row r="21" spans="1:4">
      <c r="A21" s="142" t="s">
        <v>133</v>
      </c>
      <c r="B21" s="143" t="s">
        <v>127</v>
      </c>
      <c r="C21" s="142">
        <f>C20/C17</f>
        <v>2.7884741789432088E-7</v>
      </c>
    </row>
    <row r="22" spans="1:4">
      <c r="A22" s="142" t="s">
        <v>142</v>
      </c>
      <c r="B22" s="143" t="s">
        <v>129</v>
      </c>
      <c r="C22" s="144">
        <v>76085807</v>
      </c>
      <c r="D22" s="141" t="s">
        <v>50</v>
      </c>
    </row>
    <row r="23" spans="1:4">
      <c r="A23" s="147" t="s">
        <v>143</v>
      </c>
      <c r="B23" s="148" t="s">
        <v>124</v>
      </c>
      <c r="C23" s="149">
        <f>C22*C21</f>
        <v>21.216330820355644</v>
      </c>
      <c r="D23" s="150"/>
    </row>
    <row r="24" spans="1:4">
      <c r="A24" s="142"/>
      <c r="B24" s="143"/>
      <c r="C24" s="142"/>
    </row>
    <row r="25" spans="1:4" ht="14.5" thickBot="1">
      <c r="A25" s="151" t="s">
        <v>26</v>
      </c>
      <c r="B25" s="151" t="s">
        <v>124</v>
      </c>
      <c r="C25" s="152">
        <f>C15+C23</f>
        <v>21.75546604860715</v>
      </c>
      <c r="D25" s="153"/>
    </row>
    <row r="26" spans="1:4" ht="14.5" thickTop="1"/>
  </sheetData>
  <hyperlinks>
    <hyperlink ref="A1" location="'Federal Lands'!A1" display="N2O from federal cropland and grassland (minus PRP), omitted flux estimate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G33"/>
  <sheetViews>
    <sheetView workbookViewId="0"/>
  </sheetViews>
  <sheetFormatPr defaultColWidth="8.81640625" defaultRowHeight="14"/>
  <cols>
    <col min="1" max="1" width="26.453125" style="46" customWidth="1"/>
    <col min="2" max="2" width="14.1796875" style="46" customWidth="1"/>
    <col min="3" max="3" width="19.6328125" style="46" customWidth="1"/>
    <col min="4" max="4" width="15" style="46" customWidth="1"/>
    <col min="5" max="5" width="21.81640625" style="46" customWidth="1"/>
    <col min="6" max="6" width="15.6328125" style="46" customWidth="1"/>
    <col min="7" max="7" width="18.6328125" style="46" customWidth="1"/>
    <col min="8" max="16384" width="8.81640625" style="46"/>
  </cols>
  <sheetData>
    <row r="1" spans="1:3">
      <c r="A1" s="249" t="s">
        <v>593</v>
      </c>
    </row>
    <row r="2" spans="1:3">
      <c r="A2" s="154"/>
    </row>
    <row r="3" spans="1:3">
      <c r="A3" s="154"/>
    </row>
    <row r="4" spans="1:3">
      <c r="A4" s="155" t="s">
        <v>46</v>
      </c>
      <c r="B4" s="156" t="s">
        <v>47</v>
      </c>
      <c r="C4" s="157" t="s">
        <v>48</v>
      </c>
    </row>
    <row r="5" spans="1:3">
      <c r="A5" s="158" t="s">
        <v>49</v>
      </c>
      <c r="B5" s="159">
        <v>52230069</v>
      </c>
      <c r="C5" s="46" t="s">
        <v>50</v>
      </c>
    </row>
    <row r="6" spans="1:3">
      <c r="A6" s="158" t="s">
        <v>51</v>
      </c>
      <c r="B6" s="159">
        <v>26935302</v>
      </c>
      <c r="C6" s="46" t="s">
        <v>50</v>
      </c>
    </row>
    <row r="7" spans="1:3">
      <c r="A7" s="158" t="s">
        <v>52</v>
      </c>
      <c r="B7" s="159">
        <v>28672</v>
      </c>
      <c r="C7" s="46" t="s">
        <v>50</v>
      </c>
    </row>
    <row r="8" spans="1:3">
      <c r="A8" s="158" t="s">
        <v>53</v>
      </c>
      <c r="B8" s="159">
        <v>0</v>
      </c>
      <c r="C8" s="46" t="s">
        <v>50</v>
      </c>
    </row>
    <row r="9" spans="1:3">
      <c r="A9" s="158" t="s">
        <v>54</v>
      </c>
      <c r="B9" s="159">
        <v>25959791</v>
      </c>
      <c r="C9" s="46" t="s">
        <v>50</v>
      </c>
    </row>
    <row r="10" spans="1:3">
      <c r="A10" s="160" t="s">
        <v>55</v>
      </c>
      <c r="B10" s="161">
        <v>8600578</v>
      </c>
      <c r="C10" s="162" t="s">
        <v>50</v>
      </c>
    </row>
    <row r="11" spans="1:3">
      <c r="B11" s="163"/>
      <c r="C11" s="163"/>
    </row>
    <row r="12" spans="1:3">
      <c r="A12" s="155" t="s">
        <v>56</v>
      </c>
      <c r="B12" s="47" t="s">
        <v>57</v>
      </c>
      <c r="C12" s="47"/>
    </row>
    <row r="13" spans="1:3">
      <c r="A13" s="158" t="s">
        <v>58</v>
      </c>
      <c r="B13" s="47">
        <v>21</v>
      </c>
      <c r="C13" s="47"/>
    </row>
    <row r="14" spans="1:3">
      <c r="A14" s="158" t="s">
        <v>59</v>
      </c>
      <c r="B14" s="47">
        <v>35</v>
      </c>
      <c r="C14" s="47"/>
    </row>
    <row r="15" spans="1:3">
      <c r="A15" s="158" t="s">
        <v>60</v>
      </c>
      <c r="B15" s="47">
        <v>44</v>
      </c>
      <c r="C15" s="47"/>
    </row>
    <row r="16" spans="1:3">
      <c r="A16" s="164"/>
      <c r="B16" s="47"/>
      <c r="C16" s="47"/>
    </row>
    <row r="17" spans="1:7">
      <c r="A17" s="155" t="s">
        <v>61</v>
      </c>
      <c r="B17" s="157" t="s">
        <v>559</v>
      </c>
      <c r="C17" s="49" t="s">
        <v>62</v>
      </c>
      <c r="D17" s="49" t="s">
        <v>63</v>
      </c>
      <c r="E17" s="49" t="s">
        <v>48</v>
      </c>
    </row>
    <row r="18" spans="1:7">
      <c r="A18" s="158" t="s">
        <v>64</v>
      </c>
      <c r="B18" s="165">
        <v>351933000</v>
      </c>
      <c r="C18" s="166">
        <v>244740000</v>
      </c>
      <c r="D18" s="167">
        <f>C18/B18</f>
        <v>0.69541645710973399</v>
      </c>
      <c r="E18" s="167" t="s">
        <v>65</v>
      </c>
    </row>
    <row r="19" spans="1:7">
      <c r="A19" s="158" t="s">
        <v>66</v>
      </c>
      <c r="B19" s="165">
        <v>163040000</v>
      </c>
      <c r="C19" s="166">
        <v>161860000</v>
      </c>
      <c r="D19" s="167">
        <f>C19/B19</f>
        <v>0.99276251226692835</v>
      </c>
      <c r="E19" s="167" t="s">
        <v>65</v>
      </c>
    </row>
    <row r="20" spans="1:7">
      <c r="A20" s="158" t="s">
        <v>27</v>
      </c>
      <c r="B20" s="168">
        <v>302081000</v>
      </c>
      <c r="C20" s="168">
        <v>27820000</v>
      </c>
      <c r="D20" s="162">
        <f>C20/B20</f>
        <v>9.2094504454103374E-2</v>
      </c>
      <c r="E20" s="167" t="s">
        <v>67</v>
      </c>
    </row>
    <row r="21" spans="1:7">
      <c r="A21" s="164"/>
      <c r="B21" s="47"/>
      <c r="C21" s="47"/>
    </row>
    <row r="22" spans="1:7">
      <c r="A22" s="155" t="s">
        <v>61</v>
      </c>
      <c r="B22" s="157" t="s">
        <v>560</v>
      </c>
      <c r="C22" s="157" t="s">
        <v>68</v>
      </c>
      <c r="D22" s="157" t="s">
        <v>69</v>
      </c>
      <c r="E22" s="157" t="s">
        <v>70</v>
      </c>
      <c r="F22" s="157" t="s">
        <v>71</v>
      </c>
      <c r="G22" s="157" t="s">
        <v>48</v>
      </c>
    </row>
    <row r="23" spans="1:7">
      <c r="A23" s="158" t="s">
        <v>64</v>
      </c>
      <c r="B23" s="165">
        <v>351933000</v>
      </c>
      <c r="C23" s="165">
        <f>B23-(B5+B6)</f>
        <v>272767629</v>
      </c>
      <c r="D23" s="165">
        <f>C23*D18</f>
        <v>189687098.17340234</v>
      </c>
      <c r="E23" s="167">
        <v>2.3199999999999998</v>
      </c>
      <c r="F23" s="169">
        <f>D23*E23*(16/12)*25/1000000000</f>
        <v>14.669135592076445</v>
      </c>
      <c r="G23" s="167" t="s">
        <v>72</v>
      </c>
    </row>
    <row r="24" spans="1:7">
      <c r="A24" s="158" t="s">
        <v>66</v>
      </c>
      <c r="B24" s="165">
        <v>163040000</v>
      </c>
      <c r="C24" s="165">
        <f>B24-(B7+B8)</f>
        <v>163011328</v>
      </c>
      <c r="D24" s="165">
        <f>C24*D19</f>
        <v>161831535.51324829</v>
      </c>
      <c r="E24" s="167">
        <v>1.23</v>
      </c>
      <c r="F24" s="169">
        <f>D24*E24*(16/12)*25/1000000000</f>
        <v>6.6350929560431799</v>
      </c>
      <c r="G24" s="167" t="s">
        <v>72</v>
      </c>
    </row>
    <row r="25" spans="1:7">
      <c r="A25" s="158" t="s">
        <v>73</v>
      </c>
      <c r="B25" s="168">
        <v>302081000</v>
      </c>
      <c r="C25" s="168">
        <f>B25-(B9+B10)</f>
        <v>267520631</v>
      </c>
      <c r="D25" s="168">
        <f>C25*D20*B13/100</f>
        <v>5173807.7880707495</v>
      </c>
      <c r="E25" s="162">
        <v>7.5</v>
      </c>
      <c r="F25" s="170">
        <f>D25*E25*(16/12)*25/1000000000</f>
        <v>1.2934519470176871</v>
      </c>
      <c r="G25" s="162" t="s">
        <v>72</v>
      </c>
    </row>
    <row r="26" spans="1:7">
      <c r="A26" s="158" t="s">
        <v>74</v>
      </c>
      <c r="B26" s="168">
        <v>302081000</v>
      </c>
      <c r="C26" s="168">
        <f>B26-(B9+B10)</f>
        <v>267520631</v>
      </c>
      <c r="D26" s="168">
        <f>C26*D20*B14/100</f>
        <v>8623012.9801179152</v>
      </c>
      <c r="E26" s="162">
        <v>5.5</v>
      </c>
      <c r="F26" s="170">
        <f>D26*E26*(16/12)*25/1000000000</f>
        <v>1.5808857130216176</v>
      </c>
      <c r="G26" s="162"/>
    </row>
    <row r="27" spans="1:7">
      <c r="A27" s="158" t="s">
        <v>75</v>
      </c>
      <c r="B27" s="168">
        <v>302081000</v>
      </c>
      <c r="C27" s="168">
        <f>B27-(B9+B10)</f>
        <v>267520631</v>
      </c>
      <c r="D27" s="168">
        <f>C27*D20*B15/100</f>
        <v>10840359.175005382</v>
      </c>
      <c r="E27" s="162">
        <v>2.6</v>
      </c>
      <c r="F27" s="170">
        <f>D27*E27*(16/12)*25/1000000000</f>
        <v>0.93949779516713294</v>
      </c>
      <c r="G27" s="162"/>
    </row>
    <row r="28" spans="1:7">
      <c r="A28" s="171" t="s">
        <v>76</v>
      </c>
      <c r="B28" s="172"/>
      <c r="C28" s="172"/>
      <c r="D28" s="172"/>
      <c r="E28" s="172"/>
      <c r="F28" s="173">
        <f>SUM(F23:F24)</f>
        <v>21.304228548119625</v>
      </c>
      <c r="G28" s="172"/>
    </row>
    <row r="29" spans="1:7">
      <c r="A29" s="171" t="s">
        <v>543</v>
      </c>
      <c r="B29" s="84"/>
      <c r="C29" s="84"/>
      <c r="D29" s="84"/>
      <c r="E29" s="84"/>
      <c r="F29" s="177">
        <f>SUM(F25:F27)</f>
        <v>3.8138354552064375</v>
      </c>
      <c r="G29" s="84"/>
    </row>
    <row r="30" spans="1:7" ht="14.5" thickBot="1">
      <c r="A30" s="174" t="s">
        <v>15</v>
      </c>
      <c r="B30" s="175"/>
      <c r="C30" s="175"/>
      <c r="D30" s="175"/>
      <c r="E30" s="175"/>
      <c r="F30" s="176">
        <f>SUM(F23:F27)</f>
        <v>25.118064003326062</v>
      </c>
      <c r="G30" s="175"/>
    </row>
    <row r="31" spans="1:7" ht="14.5" thickTop="1"/>
    <row r="33" spans="1:1">
      <c r="A33" s="163" t="s">
        <v>144</v>
      </c>
    </row>
  </sheetData>
  <hyperlinks>
    <hyperlink ref="A1" location="'T-28 Methane Sinks'!A1" display="Table T-28: Soil microbial methane sink, omitted flux estimate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Q66"/>
  <sheetViews>
    <sheetView zoomScaleNormal="100" zoomScalePageLayoutView="90" workbookViewId="0"/>
  </sheetViews>
  <sheetFormatPr defaultColWidth="8.81640625" defaultRowHeight="14"/>
  <cols>
    <col min="1" max="1" width="24.36328125" style="46" customWidth="1"/>
    <col min="2" max="2" width="16.453125" style="46" customWidth="1"/>
    <col min="3" max="3" width="11.36328125" style="46" customWidth="1"/>
    <col min="4" max="4" width="20" style="46" customWidth="1"/>
    <col min="5" max="8" width="11.36328125" style="46" customWidth="1"/>
    <col min="9" max="9" width="12.6328125" style="46" customWidth="1"/>
    <col min="10" max="10" width="13" style="46" customWidth="1"/>
    <col min="11" max="11" width="11.36328125" style="46" customWidth="1"/>
    <col min="12" max="12" width="14.453125" style="46" customWidth="1"/>
    <col min="13" max="17" width="11.36328125" style="46" customWidth="1"/>
    <col min="18" max="16384" width="8.81640625" style="46"/>
  </cols>
  <sheetData>
    <row r="1" spans="1:17">
      <c r="A1" s="251" t="s">
        <v>584</v>
      </c>
    </row>
    <row r="3" spans="1:17" ht="42">
      <c r="A3" s="49"/>
      <c r="B3" s="178" t="s">
        <v>35</v>
      </c>
      <c r="C3" s="179" t="s">
        <v>178</v>
      </c>
      <c r="D3" s="178" t="s">
        <v>179</v>
      </c>
      <c r="E3" s="179" t="s">
        <v>180</v>
      </c>
      <c r="F3" s="178" t="s">
        <v>181</v>
      </c>
      <c r="G3" s="178" t="s">
        <v>37</v>
      </c>
      <c r="H3" s="179" t="s">
        <v>182</v>
      </c>
      <c r="I3" s="178" t="s">
        <v>183</v>
      </c>
      <c r="J3" s="179" t="s">
        <v>184</v>
      </c>
      <c r="K3" s="178" t="s">
        <v>185</v>
      </c>
      <c r="L3" s="178" t="s">
        <v>186</v>
      </c>
      <c r="M3" s="179" t="s">
        <v>187</v>
      </c>
      <c r="N3" s="178" t="s">
        <v>188</v>
      </c>
      <c r="O3" s="179" t="s">
        <v>189</v>
      </c>
      <c r="P3" s="240" t="s">
        <v>190</v>
      </c>
      <c r="Q3" s="240"/>
    </row>
    <row r="4" spans="1:17" s="47" customFormat="1" ht="98">
      <c r="A4" s="209"/>
      <c r="B4" s="210" t="s">
        <v>255</v>
      </c>
      <c r="C4" s="210" t="s">
        <v>191</v>
      </c>
      <c r="D4" s="210" t="s">
        <v>192</v>
      </c>
      <c r="E4" s="210" t="s">
        <v>191</v>
      </c>
      <c r="F4" s="210" t="s">
        <v>193</v>
      </c>
      <c r="G4" s="210" t="s">
        <v>194</v>
      </c>
      <c r="H4" s="210" t="s">
        <v>191</v>
      </c>
      <c r="I4" s="210" t="s">
        <v>195</v>
      </c>
      <c r="J4" s="210" t="s">
        <v>191</v>
      </c>
      <c r="K4" s="210" t="s">
        <v>193</v>
      </c>
      <c r="L4" s="210" t="s">
        <v>193</v>
      </c>
      <c r="M4" s="210" t="s">
        <v>193</v>
      </c>
      <c r="N4" s="210" t="s">
        <v>193</v>
      </c>
      <c r="O4" s="210" t="s">
        <v>193</v>
      </c>
      <c r="P4" s="210" t="s">
        <v>193</v>
      </c>
      <c r="Q4" s="210" t="s">
        <v>193</v>
      </c>
    </row>
    <row r="5" spans="1:17" ht="28.5" thickBot="1">
      <c r="A5" s="45" t="s">
        <v>196</v>
      </c>
      <c r="B5" s="180" t="s">
        <v>197</v>
      </c>
      <c r="C5" s="181" t="s">
        <v>197</v>
      </c>
      <c r="D5" s="180" t="s">
        <v>57</v>
      </c>
      <c r="E5" s="181" t="s">
        <v>57</v>
      </c>
      <c r="F5" s="180" t="s">
        <v>197</v>
      </c>
      <c r="G5" s="180" t="s">
        <v>198</v>
      </c>
      <c r="H5" s="181" t="s">
        <v>198</v>
      </c>
      <c r="I5" s="180" t="s">
        <v>199</v>
      </c>
      <c r="J5" s="182" t="s">
        <v>199</v>
      </c>
      <c r="K5" s="180" t="s">
        <v>198</v>
      </c>
      <c r="L5" s="180" t="s">
        <v>200</v>
      </c>
      <c r="M5" s="181" t="s">
        <v>200</v>
      </c>
      <c r="N5" s="180" t="s">
        <v>124</v>
      </c>
      <c r="O5" s="181" t="s">
        <v>124</v>
      </c>
      <c r="P5" s="181" t="s">
        <v>201</v>
      </c>
      <c r="Q5" s="181" t="s">
        <v>202</v>
      </c>
    </row>
    <row r="6" spans="1:17">
      <c r="A6" s="46" t="s">
        <v>203</v>
      </c>
      <c r="B6" s="183">
        <v>6375.9851215999997</v>
      </c>
      <c r="C6" s="184">
        <v>487.58553834334651</v>
      </c>
      <c r="D6" s="185">
        <v>0.55200000000000005</v>
      </c>
      <c r="E6" s="184">
        <v>2.3999999999999955E-2</v>
      </c>
      <c r="F6" s="186">
        <f t="shared" ref="F6:F56" si="0">B6*D6</f>
        <v>3519.5437871232002</v>
      </c>
      <c r="G6" s="187">
        <v>0.34300000000000003</v>
      </c>
      <c r="H6" s="184">
        <v>2.8430125298310596E-2</v>
      </c>
      <c r="I6" s="188">
        <v>0.74</v>
      </c>
      <c r="J6" s="184">
        <v>0.19067257925024733</v>
      </c>
      <c r="K6" s="189">
        <f t="shared" ref="K6:K56" si="1">G6*I6</f>
        <v>0.25381999999999999</v>
      </c>
      <c r="L6" s="190">
        <f>F6*'[1]Conversion Factors'!$B$3*K6*'[1]Conversion Factors'!$B$2</f>
        <v>893330.60404761066</v>
      </c>
      <c r="M6" s="191">
        <f>SQRT((C6/B6)^2+(E6/D6)^2+(H6/G6)^2+(J6/I6)^2)*(B6*D6*G6*I6)*'[1]Conversion Factors'!$B$2*'[1]Conversion Factors'!$B$3</f>
        <v>254246.56629049996</v>
      </c>
      <c r="N6" s="192">
        <f>-1*L6*'[1]Conversion Factors'!$B$5/1000000</f>
        <v>-3.2755455481745721</v>
      </c>
      <c r="O6" s="193">
        <f>M6*-1*'[1]Conversion Factors'!$B$5/1000000</f>
        <v>-0.93223740973183311</v>
      </c>
      <c r="P6" s="193">
        <f>N6+1.96*O6</f>
        <v>-5.1027308712489647</v>
      </c>
      <c r="Q6" s="193">
        <f>N6-1.96*O6</f>
        <v>-1.4483602251001793</v>
      </c>
    </row>
    <row r="7" spans="1:17">
      <c r="A7" s="46" t="s">
        <v>204</v>
      </c>
      <c r="B7" s="183">
        <v>666.92627200000004</v>
      </c>
      <c r="C7" s="184">
        <v>58.859398362500954</v>
      </c>
      <c r="D7" s="185">
        <v>0.39799999999999996</v>
      </c>
      <c r="E7" s="184">
        <v>2.1000000000000001E-2</v>
      </c>
      <c r="F7" s="186">
        <f t="shared" si="0"/>
        <v>265.43665625599999</v>
      </c>
      <c r="G7" s="187">
        <v>0.16800000000000001</v>
      </c>
      <c r="H7" s="184">
        <v>1.3924959329784782E-2</v>
      </c>
      <c r="I7" s="188">
        <v>0.74</v>
      </c>
      <c r="J7" s="184">
        <v>0.19067257925024733</v>
      </c>
      <c r="K7" s="189">
        <f t="shared" si="1"/>
        <v>0.12432</v>
      </c>
      <c r="L7" s="190">
        <f>F7*'[1]Conversion Factors'!$B$3*K7*'[1]Conversion Factors'!$B$2</f>
        <v>32999.085105745922</v>
      </c>
      <c r="M7" s="191">
        <f>SQRT((C7/B7)^2+(E7/D7)^2+(H7/G7)^2+(J7/I7)^2)*(B7*D7*G7*I7)*'[1]Conversion Factors'!$B$2*'[1]Conversion Factors'!$B$3</f>
        <v>9554.6286848839864</v>
      </c>
      <c r="N7" s="192">
        <f>-1*L7*'[1]Conversion Factors'!$B$5/1000000</f>
        <v>-0.12099664538773504</v>
      </c>
      <c r="O7" s="193">
        <f>M7*-1*'[1]Conversion Factors'!$B$5/1000000</f>
        <v>-3.5033638511241284E-2</v>
      </c>
      <c r="P7" s="193">
        <f t="shared" ref="P7:P56" si="2">N7+1.96*O7</f>
        <v>-0.18966257686976795</v>
      </c>
      <c r="Q7" s="193">
        <f t="shared" ref="Q7:Q56" si="3">N7-1.96*O7</f>
        <v>-5.2330713905702125E-2</v>
      </c>
    </row>
    <row r="8" spans="1:17">
      <c r="A8" s="46" t="s">
        <v>205</v>
      </c>
      <c r="B8" s="183">
        <v>6452.9550976</v>
      </c>
      <c r="C8" s="184">
        <v>481.08350962270248</v>
      </c>
      <c r="D8" s="185">
        <v>0.17600000000000002</v>
      </c>
      <c r="E8" s="184">
        <v>1.7000000000000001E-2</v>
      </c>
      <c r="F8" s="186">
        <f t="shared" si="0"/>
        <v>1135.7200971776001</v>
      </c>
      <c r="G8" s="187">
        <v>0.35399999999999998</v>
      </c>
      <c r="H8" s="184">
        <v>2.9341878587760786E-2</v>
      </c>
      <c r="I8" s="188">
        <v>0.74</v>
      </c>
      <c r="J8" s="184">
        <v>0.19067257925024733</v>
      </c>
      <c r="K8" s="189">
        <f t="shared" si="1"/>
        <v>0.26195999999999997</v>
      </c>
      <c r="L8" s="190">
        <f>F8*'[1]Conversion Factors'!$B$3*K8*'[1]Conversion Factors'!$B$2</f>
        <v>297513.23665664409</v>
      </c>
      <c r="M8" s="191">
        <f>SQRT((C8/B8)^2+(E8/D8)^2+(H8/G8)^2+(J8/I8)^2)*(B8*D8*G8*I8)*'[1]Conversion Factors'!$B$2*'[1]Conversion Factors'!$B$3</f>
        <v>88331.701993499461</v>
      </c>
      <c r="N8" s="192">
        <f>-1*L8*'[1]Conversion Factors'!$B$5/1000000</f>
        <v>-1.0908818677410284</v>
      </c>
      <c r="O8" s="193">
        <f>M8*-1*'[1]Conversion Factors'!$B$5/1000000</f>
        <v>-0.32388290730949798</v>
      </c>
      <c r="P8" s="193">
        <f t="shared" si="2"/>
        <v>-1.7256923660676444</v>
      </c>
      <c r="Q8" s="193">
        <f t="shared" si="3"/>
        <v>-0.45607136941441229</v>
      </c>
    </row>
    <row r="9" spans="1:17">
      <c r="A9" s="46" t="s">
        <v>206</v>
      </c>
      <c r="B9" s="183">
        <v>3131.7171007999996</v>
      </c>
      <c r="C9" s="184">
        <v>242.9029974695853</v>
      </c>
      <c r="D9" s="185">
        <v>0.42299999999999999</v>
      </c>
      <c r="E9" s="184">
        <v>3.2999999999999981E-2</v>
      </c>
      <c r="F9" s="186">
        <f t="shared" si="0"/>
        <v>1324.7163336383999</v>
      </c>
      <c r="G9" s="187">
        <v>0.33100000000000002</v>
      </c>
      <c r="H9" s="184">
        <v>2.7435485346183109E-2</v>
      </c>
      <c r="I9" s="188">
        <v>0.74</v>
      </c>
      <c r="J9" s="184">
        <v>0.19067257925024733</v>
      </c>
      <c r="K9" s="189">
        <f t="shared" si="1"/>
        <v>0.24494000000000002</v>
      </c>
      <c r="L9" s="190">
        <f>F9*'[1]Conversion Factors'!$B$3*K9*'[1]Conversion Factors'!$B$2</f>
        <v>324476.01876138966</v>
      </c>
      <c r="M9" s="191">
        <f>SQRT((C9/B9)^2+(E9/D9)^2+(H9/G9)^2+(J9/I9)^2)*(B9*D9*G9*I9)*'[1]Conversion Factors'!$B$2*'[1]Conversion Factors'!$B$3</f>
        <v>94802.486111239632</v>
      </c>
      <c r="N9" s="192">
        <f>-1*L9*'[1]Conversion Factors'!$B$5/1000000</f>
        <v>-1.1897454021250953</v>
      </c>
      <c r="O9" s="193">
        <f>M9*-1*'[1]Conversion Factors'!$B$5/1000000</f>
        <v>-0.347609115741212</v>
      </c>
      <c r="P9" s="193">
        <f t="shared" si="2"/>
        <v>-1.8710592689778709</v>
      </c>
      <c r="Q9" s="193">
        <f t="shared" si="3"/>
        <v>-0.50843153527231977</v>
      </c>
    </row>
    <row r="10" spans="1:17">
      <c r="A10" s="46" t="s">
        <v>207</v>
      </c>
      <c r="B10" s="183">
        <v>21710.282160000002</v>
      </c>
      <c r="C10" s="184">
        <v>1848.5382433615625</v>
      </c>
      <c r="D10" s="185">
        <v>0.251</v>
      </c>
      <c r="E10" s="184">
        <v>1.1999999999999986E-2</v>
      </c>
      <c r="F10" s="186">
        <f t="shared" si="0"/>
        <v>5449.2808221600008</v>
      </c>
      <c r="G10" s="187">
        <v>0.38900000000000001</v>
      </c>
      <c r="H10" s="184">
        <v>3.2242911781465954E-2</v>
      </c>
      <c r="I10" s="188">
        <v>0.74</v>
      </c>
      <c r="J10" s="184">
        <v>0.19067257925024733</v>
      </c>
      <c r="K10" s="189">
        <f t="shared" si="1"/>
        <v>0.28786</v>
      </c>
      <c r="L10" s="190">
        <f>F10*'[1]Conversion Factors'!$B$3*K10*'[1]Conversion Factors'!$B$2</f>
        <v>1568629.9774669779</v>
      </c>
      <c r="M10" s="191">
        <f>SQRT((C10/B10)^2+(E10/D10)^2+(H10/G10)^2+(J10/I10)^2)*(B10*D10*G10*I10)*'[1]Conversion Factors'!$B$2*'[1]Conversion Factors'!$B$3</f>
        <v>451365.6412089924</v>
      </c>
      <c r="N10" s="192">
        <f>-1*L10*'[1]Conversion Factors'!$B$5/1000000</f>
        <v>-5.7516432507122524</v>
      </c>
      <c r="O10" s="193">
        <f>M10*-1*'[1]Conversion Factors'!$B$5/1000000</f>
        <v>-1.6550073510996388</v>
      </c>
      <c r="P10" s="193">
        <f t="shared" si="2"/>
        <v>-8.9954576588675437</v>
      </c>
      <c r="Q10" s="193">
        <f t="shared" si="3"/>
        <v>-2.5078288425569601</v>
      </c>
    </row>
    <row r="11" spans="1:17">
      <c r="A11" s="46" t="s">
        <v>208</v>
      </c>
      <c r="B11" s="183">
        <v>4351.9795599999998</v>
      </c>
      <c r="C11" s="184">
        <v>338.41585645909851</v>
      </c>
      <c r="D11" s="185">
        <v>0.185</v>
      </c>
      <c r="E11" s="184">
        <v>2.4999999999999991E-2</v>
      </c>
      <c r="F11" s="186">
        <f t="shared" si="0"/>
        <v>805.11621859999991</v>
      </c>
      <c r="G11" s="187">
        <v>0.19700000000000001</v>
      </c>
      <c r="H11" s="184">
        <v>1.6328672547426201E-2</v>
      </c>
      <c r="I11" s="188">
        <v>0.74</v>
      </c>
      <c r="J11" s="184">
        <v>0.19067257925024733</v>
      </c>
      <c r="K11" s="189">
        <f t="shared" si="1"/>
        <v>0.14577999999999999</v>
      </c>
      <c r="L11" s="190">
        <f>F11*'[1]Conversion Factors'!$B$3*K11*'[1]Conversion Factors'!$B$2</f>
        <v>117369.84234750799</v>
      </c>
      <c r="M11" s="191">
        <f>SQRT((C11/B11)^2+(E11/D11)^2+(H11/G11)^2+(J11/I11)^2)*(B11*D11*G11*I11)*'[1]Conversion Factors'!$B$2*'[1]Conversion Factors'!$B$3</f>
        <v>36661.897462313616</v>
      </c>
      <c r="N11" s="192">
        <f>-1*L11*'[1]Conversion Factors'!$B$5/1000000</f>
        <v>-0.43035608860752927</v>
      </c>
      <c r="O11" s="193">
        <f>M11*-1*'[1]Conversion Factors'!$B$5/1000000</f>
        <v>-0.13442695736181656</v>
      </c>
      <c r="P11" s="193">
        <f t="shared" si="2"/>
        <v>-0.6938329250366897</v>
      </c>
      <c r="Q11" s="193">
        <f t="shared" si="3"/>
        <v>-0.1668792521783688</v>
      </c>
    </row>
    <row r="12" spans="1:17">
      <c r="A12" s="46" t="s">
        <v>209</v>
      </c>
      <c r="B12" s="183">
        <v>4814.2003343999995</v>
      </c>
      <c r="C12" s="184">
        <v>410.95012844016253</v>
      </c>
      <c r="D12" s="185">
        <v>0.67400000000000004</v>
      </c>
      <c r="E12" s="184">
        <v>3.4000000000000037E-2</v>
      </c>
      <c r="F12" s="186">
        <f t="shared" si="0"/>
        <v>3244.7710253855998</v>
      </c>
      <c r="G12" s="187">
        <v>0.23899999999999999</v>
      </c>
      <c r="H12" s="184">
        <v>1.9809912379872393E-2</v>
      </c>
      <c r="I12" s="188">
        <v>0.74</v>
      </c>
      <c r="J12" s="184">
        <v>0.19067257925024733</v>
      </c>
      <c r="K12" s="189">
        <f t="shared" si="1"/>
        <v>0.17685999999999999</v>
      </c>
      <c r="L12" s="190">
        <f>F12*'[1]Conversion Factors'!$B$3*K12*'[1]Conversion Factors'!$B$2</f>
        <v>573870.20354969718</v>
      </c>
      <c r="M12" s="191">
        <f>SQRT((C12/B12)^2+(E12/D12)^2+(H12/G12)^2+(J12/I12)^2)*(B12*D12*G12*I12)*'[1]Conversion Factors'!$B$2*'[1]Conversion Factors'!$B$3</f>
        <v>165423.17738073083</v>
      </c>
      <c r="N12" s="192">
        <f>-1*L12*'[1]Conversion Factors'!$B$5/1000000</f>
        <v>-2.1041907463488894</v>
      </c>
      <c r="O12" s="193">
        <f>M12*-1*'[1]Conversion Factors'!$B$5/1000000</f>
        <v>-0.606551650396013</v>
      </c>
      <c r="P12" s="193">
        <f t="shared" si="2"/>
        <v>-3.2930319811250746</v>
      </c>
      <c r="Q12" s="193">
        <f t="shared" si="3"/>
        <v>-0.91534951157270394</v>
      </c>
    </row>
    <row r="13" spans="1:17">
      <c r="A13" s="46" t="s">
        <v>210</v>
      </c>
      <c r="B13" s="183">
        <v>1213.8676864000001</v>
      </c>
      <c r="C13" s="184">
        <v>89.335405351907283</v>
      </c>
      <c r="D13" s="185">
        <v>0.35</v>
      </c>
      <c r="E13" s="184">
        <v>4.7999999999999987E-2</v>
      </c>
      <c r="F13" s="186">
        <f t="shared" si="0"/>
        <v>424.85369024000005</v>
      </c>
      <c r="G13" s="187">
        <v>0.33500000000000002</v>
      </c>
      <c r="H13" s="184">
        <v>2.7767031996892275E-2</v>
      </c>
      <c r="I13" s="188">
        <v>0.74</v>
      </c>
      <c r="J13" s="184">
        <v>0.19067257925024733</v>
      </c>
      <c r="K13" s="189">
        <f t="shared" si="1"/>
        <v>0.24790000000000001</v>
      </c>
      <c r="L13" s="190">
        <f>F13*'[1]Conversion Factors'!$B$3*K13*'[1]Conversion Factors'!$B$2</f>
        <v>105321.22981049602</v>
      </c>
      <c r="M13" s="191">
        <f>SQRT((C13/B13)^2+(E13/D13)^2+(H13/G13)^2+(J13/I13)^2)*(B13*D13*G13*I13)*'[1]Conversion Factors'!$B$2*'[1]Conversion Factors'!$B$3</f>
        <v>32884.22795273595</v>
      </c>
      <c r="N13" s="192">
        <f>-1*L13*'[1]Conversion Factors'!$B$5/1000000</f>
        <v>-0.38617784263848537</v>
      </c>
      <c r="O13" s="193">
        <f>M13*-1*'[1]Conversion Factors'!$B$5/1000000</f>
        <v>-0.12057550249336514</v>
      </c>
      <c r="P13" s="193">
        <f t="shared" si="2"/>
        <v>-0.622505827525481</v>
      </c>
      <c r="Q13" s="193">
        <f t="shared" si="3"/>
        <v>-0.14984985775148971</v>
      </c>
    </row>
    <row r="14" spans="1:17">
      <c r="A14" s="46" t="s">
        <v>211</v>
      </c>
      <c r="B14" s="183">
        <v>158.18348799999998</v>
      </c>
      <c r="C14" s="184">
        <v>13.784045693353457</v>
      </c>
      <c r="D14" s="185">
        <v>0.35</v>
      </c>
      <c r="E14" s="184">
        <v>3.9886039886039924E-3</v>
      </c>
      <c r="F14" s="186">
        <f t="shared" si="0"/>
        <v>55.364220799999991</v>
      </c>
      <c r="G14" s="187">
        <v>0.26300000000000001</v>
      </c>
      <c r="H14" s="184">
        <v>2.1799192284127366E-2</v>
      </c>
      <c r="I14" s="188">
        <v>0.7946768060836501</v>
      </c>
      <c r="J14" s="194">
        <v>0.1341273334865247</v>
      </c>
      <c r="K14" s="189">
        <f t="shared" si="1"/>
        <v>0.20899999999999999</v>
      </c>
      <c r="L14" s="190">
        <f>F14*'[1]Conversion Factors'!$B$3*K14*'[1]Conversion Factors'!$B$2</f>
        <v>11571.122147199998</v>
      </c>
      <c r="M14" s="191">
        <f>SQRT((C14/B14)^2+(E14/D14)^2+(H14/G14)^2+(J14/I14)^2)*(B14*D14*G14*I14)*'[1]Conversion Factors'!$B$2*'[1]Conversion Factors'!$B$3</f>
        <v>2401.6928987962851</v>
      </c>
      <c r="N14" s="192">
        <f>-1*L14*'[1]Conversion Factors'!$B$5/1000000</f>
        <v>-4.2427447873066661E-2</v>
      </c>
      <c r="O14" s="193">
        <f>M14*-1*'[1]Conversion Factors'!$B$5/1000000</f>
        <v>-8.8062072955863782E-3</v>
      </c>
      <c r="P14" s="193">
        <f t="shared" si="2"/>
        <v>-5.9687614172415963E-2</v>
      </c>
      <c r="Q14" s="193">
        <f t="shared" si="3"/>
        <v>-2.5167281573717358E-2</v>
      </c>
    </row>
    <row r="15" spans="1:17">
      <c r="A15" s="46" t="s">
        <v>212</v>
      </c>
      <c r="B15" s="183">
        <v>20922.243624000002</v>
      </c>
      <c r="C15" s="184">
        <v>1642.4865333893904</v>
      </c>
      <c r="D15" s="185">
        <v>0.35499999999999998</v>
      </c>
      <c r="E15" s="184">
        <v>1.7000000000000019E-2</v>
      </c>
      <c r="F15" s="186">
        <f t="shared" si="0"/>
        <v>7427.3964865200005</v>
      </c>
      <c r="G15" s="187">
        <v>0.47499999999999998</v>
      </c>
      <c r="H15" s="184">
        <v>3.9371164771712923E-2</v>
      </c>
      <c r="I15" s="188">
        <v>0.74</v>
      </c>
      <c r="J15" s="184">
        <v>0.19067257925024733</v>
      </c>
      <c r="K15" s="189">
        <f t="shared" si="1"/>
        <v>0.35149999999999998</v>
      </c>
      <c r="L15" s="190">
        <f>F15*'[1]Conversion Factors'!$B$3*K15*'[1]Conversion Factors'!$B$2</f>
        <v>2610729.8650117801</v>
      </c>
      <c r="M15" s="191">
        <f>SQRT((C15/B15)^2+(E15/D15)^2+(H15/G15)^2+(J15/I15)^2)*(B15*D15*G15*I15)*'[1]Conversion Factors'!$B$2*'[1]Conversion Factors'!$B$3</f>
        <v>746312.2325979548</v>
      </c>
      <c r="N15" s="192">
        <f>-1*L15*'[1]Conversion Factors'!$B$5/1000000</f>
        <v>-9.5726761717098601</v>
      </c>
      <c r="O15" s="193">
        <f>M15*-1*'[1]Conversion Factors'!$B$5/1000000</f>
        <v>-2.7364781861925009</v>
      </c>
      <c r="P15" s="193">
        <f t="shared" si="2"/>
        <v>-14.936173416647161</v>
      </c>
      <c r="Q15" s="193">
        <f t="shared" si="3"/>
        <v>-4.2091789267725579</v>
      </c>
    </row>
    <row r="16" spans="1:17">
      <c r="A16" s="46" t="s">
        <v>213</v>
      </c>
      <c r="B16" s="183">
        <v>14057.958704000001</v>
      </c>
      <c r="C16" s="184">
        <v>1056.7771420824274</v>
      </c>
      <c r="D16" s="185">
        <v>0.54100000000000004</v>
      </c>
      <c r="E16" s="184">
        <v>2.1000000000000029E-2</v>
      </c>
      <c r="F16" s="186">
        <f t="shared" si="0"/>
        <v>7605.3556588640013</v>
      </c>
      <c r="G16" s="187">
        <v>0.35299999999999998</v>
      </c>
      <c r="H16" s="184">
        <v>2.9258991925083497E-2</v>
      </c>
      <c r="I16" s="188">
        <v>0.74</v>
      </c>
      <c r="J16" s="184">
        <v>0.19067257925024733</v>
      </c>
      <c r="K16" s="189">
        <f t="shared" si="1"/>
        <v>0.26122000000000001</v>
      </c>
      <c r="L16" s="190">
        <f>F16*'[1]Conversion Factors'!$B$3*K16*'[1]Conversion Factors'!$B$2</f>
        <v>1986671.0052084543</v>
      </c>
      <c r="M16" s="191">
        <f>SQRT((C16/B16)^2+(E16/D16)^2+(H16/G16)^2+(J16/I16)^2)*(B16*D16*G16*I16)*'[1]Conversion Factors'!$B$2*'[1]Conversion Factors'!$B$3</f>
        <v>563386.78101658914</v>
      </c>
      <c r="N16" s="192">
        <f>-1*L16*'[1]Conversion Factors'!$B$5/1000000</f>
        <v>-7.2844603524309992</v>
      </c>
      <c r="O16" s="193">
        <f>M16*-1*'[1]Conversion Factors'!$B$5/1000000</f>
        <v>-2.0657515303941603</v>
      </c>
      <c r="P16" s="193">
        <f t="shared" si="2"/>
        <v>-11.333333352003553</v>
      </c>
      <c r="Q16" s="193">
        <f t="shared" si="3"/>
        <v>-3.2355873528584453</v>
      </c>
    </row>
    <row r="17" spans="1:17">
      <c r="A17" s="46" t="s">
        <v>214</v>
      </c>
      <c r="B17" s="183">
        <v>1083.7406639999999</v>
      </c>
      <c r="C17" s="184">
        <v>87.655213340459042</v>
      </c>
      <c r="D17" s="185">
        <v>0.39899999999999997</v>
      </c>
      <c r="E17" s="184">
        <v>1.4000000000000011E-2</v>
      </c>
      <c r="F17" s="186">
        <f t="shared" si="0"/>
        <v>432.41252493599995</v>
      </c>
      <c r="G17" s="187">
        <v>0.58099999999999996</v>
      </c>
      <c r="H17" s="184">
        <v>4.8157151015505703E-2</v>
      </c>
      <c r="I17" s="188">
        <v>0.74</v>
      </c>
      <c r="J17" s="184">
        <v>0.19067257925024733</v>
      </c>
      <c r="K17" s="189">
        <f t="shared" si="1"/>
        <v>0.42993999999999999</v>
      </c>
      <c r="L17" s="190">
        <f>F17*'[1]Conversion Factors'!$B$3*K17*'[1]Conversion Factors'!$B$2</f>
        <v>185911.44097098379</v>
      </c>
      <c r="M17" s="191">
        <f>SQRT((C17/B17)^2+(E17/D17)^2+(H17/G17)^2+(J17/I17)^2)*(B17*D17*G17*I17)*'[1]Conversion Factors'!$B$2*'[1]Conversion Factors'!$B$3</f>
        <v>52922.703580523164</v>
      </c>
      <c r="N17" s="192">
        <f>-1*L17*'[1]Conversion Factors'!$B$5/1000000</f>
        <v>-0.68167528356027396</v>
      </c>
      <c r="O17" s="193">
        <f>M17*-1*'[1]Conversion Factors'!$B$5/1000000</f>
        <v>-0.19404991312858491</v>
      </c>
      <c r="P17" s="193">
        <f t="shared" si="2"/>
        <v>-1.0620131132923003</v>
      </c>
      <c r="Q17" s="193">
        <f t="shared" si="3"/>
        <v>-0.30133745382824756</v>
      </c>
    </row>
    <row r="18" spans="1:17">
      <c r="A18" s="46" t="s">
        <v>215</v>
      </c>
      <c r="B18" s="183">
        <v>1435.170768</v>
      </c>
      <c r="C18" s="184">
        <v>110.35268761886991</v>
      </c>
      <c r="D18" s="185">
        <v>0.1</v>
      </c>
      <c r="E18" s="184">
        <v>3.0000000000000009E-2</v>
      </c>
      <c r="F18" s="186">
        <f t="shared" si="0"/>
        <v>143.51707680000001</v>
      </c>
      <c r="G18" s="187">
        <v>0.184</v>
      </c>
      <c r="H18" s="184">
        <v>1.5251145932621427E-2</v>
      </c>
      <c r="I18" s="188">
        <v>0.74</v>
      </c>
      <c r="J18" s="184">
        <v>0.19067257925024733</v>
      </c>
      <c r="K18" s="189">
        <f t="shared" si="1"/>
        <v>0.13616</v>
      </c>
      <c r="L18" s="190">
        <f>F18*'[1]Conversion Factors'!$B$3*K18*'[1]Conversion Factors'!$B$2</f>
        <v>19541.285177088004</v>
      </c>
      <c r="M18" s="191">
        <f>SQRT((C18/B18)^2+(E18/D18)^2+(H18/G18)^2+(J18/I18)^2)*(B18*D18*G18*I18)*'[1]Conversion Factors'!$B$2*'[1]Conversion Factors'!$B$3</f>
        <v>8037.4832178557335</v>
      </c>
      <c r="N18" s="192">
        <f>-1*L18*'[1]Conversion Factors'!$B$5/1000000</f>
        <v>-7.1651378982656014E-2</v>
      </c>
      <c r="O18" s="193">
        <f>M18*-1*'[1]Conversion Factors'!$B$5/1000000</f>
        <v>-2.9470771798804356E-2</v>
      </c>
      <c r="P18" s="193">
        <f t="shared" si="2"/>
        <v>-0.12941409170831256</v>
      </c>
      <c r="Q18" s="193">
        <f t="shared" si="3"/>
        <v>-1.3888666256999478E-2</v>
      </c>
    </row>
    <row r="19" spans="1:17">
      <c r="A19" s="46" t="s">
        <v>216</v>
      </c>
      <c r="B19" s="183">
        <v>10755.329340799999</v>
      </c>
      <c r="C19" s="184">
        <v>881.70627219418816</v>
      </c>
      <c r="D19" s="185">
        <v>0.254</v>
      </c>
      <c r="E19" s="184">
        <v>1.9999999999999997E-2</v>
      </c>
      <c r="F19" s="186">
        <f t="shared" si="0"/>
        <v>2731.8536525631998</v>
      </c>
      <c r="G19" s="187">
        <v>0.28299999999999997</v>
      </c>
      <c r="H19" s="184">
        <v>2.345692553767317E-2</v>
      </c>
      <c r="I19" s="188">
        <v>0.74</v>
      </c>
      <c r="J19" s="184">
        <v>0.19067257925024733</v>
      </c>
      <c r="K19" s="189">
        <f t="shared" si="1"/>
        <v>0.20941999999999997</v>
      </c>
      <c r="L19" s="190">
        <f>F19*'[1]Conversion Factors'!$B$3*K19*'[1]Conversion Factors'!$B$2</f>
        <v>572104.79191978532</v>
      </c>
      <c r="M19" s="191">
        <f>SQRT((C19/B19)^2+(E19/D19)^2+(H19/G19)^2+(J19/I19)^2)*(B19*D19*G19*I19)*'[1]Conversion Factors'!$B$2*'[1]Conversion Factors'!$B$3</f>
        <v>167951.76554010811</v>
      </c>
      <c r="N19" s="192">
        <f>-1*L19*'[1]Conversion Factors'!$B$5/1000000</f>
        <v>-2.0977175703725459</v>
      </c>
      <c r="O19" s="193">
        <f>M19*-1*'[1]Conversion Factors'!$B$5/1000000</f>
        <v>-0.61582314031372976</v>
      </c>
      <c r="P19" s="193">
        <f t="shared" si="2"/>
        <v>-3.3047309253874562</v>
      </c>
      <c r="Q19" s="193">
        <f t="shared" si="3"/>
        <v>-0.89070421535763566</v>
      </c>
    </row>
    <row r="20" spans="1:17">
      <c r="A20" s="46" t="s">
        <v>217</v>
      </c>
      <c r="B20" s="183">
        <v>7008.5147679999991</v>
      </c>
      <c r="C20" s="184">
        <v>562.31613393004193</v>
      </c>
      <c r="D20" s="185">
        <v>0.23699999999999999</v>
      </c>
      <c r="E20" s="184">
        <v>2.6000000000000002E-2</v>
      </c>
      <c r="F20" s="186">
        <f t="shared" si="0"/>
        <v>1661.0180000159996</v>
      </c>
      <c r="G20" s="187">
        <v>0.25</v>
      </c>
      <c r="H20" s="184">
        <v>2.0721665669322591E-2</v>
      </c>
      <c r="I20" s="188">
        <v>0.92465753424657549</v>
      </c>
      <c r="J20" s="194">
        <v>0.34434833472921922</v>
      </c>
      <c r="K20" s="189">
        <f t="shared" si="1"/>
        <v>0.23116438356164387</v>
      </c>
      <c r="L20" s="190">
        <f>F20*'[1]Conversion Factors'!$B$3*K20*'[1]Conversion Factors'!$B$2</f>
        <v>383968.2020584931</v>
      </c>
      <c r="M20" s="191">
        <f>SQRT((C20/B20)^2+(E20/D20)^2+(H20/G20)^2+(J20/I20)^2)*(B20*D20*G20*I20)*'[1]Conversion Factors'!$B$2*'[1]Conversion Factors'!$B$3</f>
        <v>155509.10042851808</v>
      </c>
      <c r="N20" s="192">
        <f>-1*L20*'[1]Conversion Factors'!$B$5/1000000</f>
        <v>-1.4078834075478079</v>
      </c>
      <c r="O20" s="193">
        <f>M20*-1*'[1]Conversion Factors'!$B$5/1000000</f>
        <v>-0.57020003490456628</v>
      </c>
      <c r="P20" s="193">
        <f t="shared" si="2"/>
        <v>-2.5254754759607581</v>
      </c>
      <c r="Q20" s="193">
        <f t="shared" si="3"/>
        <v>-0.29029133913485805</v>
      </c>
    </row>
    <row r="21" spans="1:17">
      <c r="A21" s="46" t="s">
        <v>218</v>
      </c>
      <c r="B21" s="183">
        <v>2680.1689200000001</v>
      </c>
      <c r="C21" s="184">
        <v>211.71597815831598</v>
      </c>
      <c r="D21" s="185">
        <v>0.19</v>
      </c>
      <c r="E21" s="184">
        <v>2.8000000000000004E-2</v>
      </c>
      <c r="F21" s="186">
        <f t="shared" si="0"/>
        <v>509.23209480000003</v>
      </c>
      <c r="G21" s="187">
        <v>0.24</v>
      </c>
      <c r="H21" s="184">
        <v>1.9892799042549685E-2</v>
      </c>
      <c r="I21" s="188">
        <v>0.74</v>
      </c>
      <c r="J21" s="184">
        <v>0.19067257925024733</v>
      </c>
      <c r="K21" s="189">
        <f t="shared" si="1"/>
        <v>0.17759999999999998</v>
      </c>
      <c r="L21" s="190">
        <f>F21*'[1]Conversion Factors'!$B$3*K21*'[1]Conversion Factors'!$B$2</f>
        <v>90439.620036480002</v>
      </c>
      <c r="M21" s="191">
        <f>SQRT((C21/B21)^2+(E21/D21)^2+(H21/G21)^2+(J21/I21)^2)*(B21*D21*G21*I21)*'[1]Conversion Factors'!$B$2*'[1]Conversion Factors'!$B$3</f>
        <v>28773.335281323238</v>
      </c>
      <c r="N21" s="192">
        <f>-1*L21*'[1]Conversion Factors'!$B$5/1000000</f>
        <v>-0.33161194013376</v>
      </c>
      <c r="O21" s="193">
        <f>M21*-1*'[1]Conversion Factors'!$B$5/1000000</f>
        <v>-0.10550222936485187</v>
      </c>
      <c r="P21" s="193">
        <f t="shared" si="2"/>
        <v>-0.53839630968886965</v>
      </c>
      <c r="Q21" s="193">
        <f t="shared" si="3"/>
        <v>-0.12482757057865032</v>
      </c>
    </row>
    <row r="22" spans="1:17">
      <c r="A22" s="46" t="s">
        <v>219</v>
      </c>
      <c r="B22" s="183">
        <v>2685.4937855999997</v>
      </c>
      <c r="C22" s="184">
        <v>216.80203215753531</v>
      </c>
      <c r="D22" s="185">
        <v>0.25</v>
      </c>
      <c r="E22" s="184">
        <v>3.9999999999999987E-2</v>
      </c>
      <c r="F22" s="186">
        <f t="shared" si="0"/>
        <v>671.37344639999992</v>
      </c>
      <c r="G22" s="187">
        <v>0.28299999999999997</v>
      </c>
      <c r="H22" s="184">
        <v>2.345692553767317E-2</v>
      </c>
      <c r="I22" s="188">
        <v>0.77816901408450712</v>
      </c>
      <c r="J22" s="194">
        <v>0.19270507260576863</v>
      </c>
      <c r="K22" s="189">
        <f t="shared" si="1"/>
        <v>0.2202218309859155</v>
      </c>
      <c r="L22" s="190">
        <f>F22*'[1]Conversion Factors'!$B$3*K22*'[1]Conversion Factors'!$B$2</f>
        <v>147851.0896415324</v>
      </c>
      <c r="M22" s="191">
        <f>SQRT((C22/B22)^2+(E22/D22)^2+(H22/G22)^2+(J22/I22)^2)*(B22*D22*G22*I22)*'[1]Conversion Factors'!$B$2*'[1]Conversion Factors'!$B$3</f>
        <v>46827.682690760957</v>
      </c>
      <c r="N22" s="192">
        <f>-1*L22*'[1]Conversion Factors'!$B$5/1000000</f>
        <v>-0.54212066201895204</v>
      </c>
      <c r="O22" s="193">
        <f>M22*-1*'[1]Conversion Factors'!$B$5/1000000</f>
        <v>-0.17170150319945685</v>
      </c>
      <c r="P22" s="193">
        <f t="shared" si="2"/>
        <v>-0.87865560828988742</v>
      </c>
      <c r="Q22" s="193">
        <f t="shared" si="3"/>
        <v>-0.20558571574801665</v>
      </c>
    </row>
    <row r="23" spans="1:17">
      <c r="A23" s="46" t="s">
        <v>220</v>
      </c>
      <c r="B23" s="183">
        <v>3955.2493743999999</v>
      </c>
      <c r="C23" s="184">
        <v>313.47343421455378</v>
      </c>
      <c r="D23" s="185">
        <v>0.221</v>
      </c>
      <c r="E23" s="184">
        <v>3.1000000000000007E-2</v>
      </c>
      <c r="F23" s="186">
        <f t="shared" si="0"/>
        <v>874.11011174240002</v>
      </c>
      <c r="G23" s="187">
        <v>0.28599999999999998</v>
      </c>
      <c r="H23" s="184">
        <v>2.3705585525705043E-2</v>
      </c>
      <c r="I23" s="188">
        <v>0.74</v>
      </c>
      <c r="J23" s="184">
        <v>0.19067257925024733</v>
      </c>
      <c r="K23" s="189">
        <f t="shared" si="1"/>
        <v>0.21163999999999997</v>
      </c>
      <c r="L23" s="190">
        <f>F23*'[1]Conversion Factors'!$B$3*K23*'[1]Conversion Factors'!$B$2</f>
        <v>184996.66404916154</v>
      </c>
      <c r="M23" s="191">
        <f>SQRT((C23/B23)^2+(E23/D23)^2+(H23/G23)^2+(J23/I23)^2)*(B23*D23*G23*I23)*'[1]Conversion Factors'!$B$2*'[1]Conversion Factors'!$B$3</f>
        <v>58272.257009088818</v>
      </c>
      <c r="N23" s="192">
        <f>-1*L23*'[1]Conversion Factors'!$B$5/1000000</f>
        <v>-0.67832110151359226</v>
      </c>
      <c r="O23" s="193">
        <f>M23*-1*'[1]Conversion Factors'!$B$5/1000000</f>
        <v>-0.21366494236665901</v>
      </c>
      <c r="P23" s="193">
        <f t="shared" si="2"/>
        <v>-1.097104388552244</v>
      </c>
      <c r="Q23" s="193">
        <f t="shared" si="3"/>
        <v>-0.25953781447494062</v>
      </c>
    </row>
    <row r="24" spans="1:17">
      <c r="A24" s="46" t="s">
        <v>221</v>
      </c>
      <c r="B24" s="183">
        <v>5566.9226240000007</v>
      </c>
      <c r="C24" s="184">
        <v>436.58889739766852</v>
      </c>
      <c r="D24" s="185">
        <v>0.34899999999999998</v>
      </c>
      <c r="E24" s="184">
        <v>2.8999999999999974E-2</v>
      </c>
      <c r="F24" s="186">
        <f t="shared" si="0"/>
        <v>1942.8559957760001</v>
      </c>
      <c r="G24" s="187">
        <v>0.39700000000000002</v>
      </c>
      <c r="H24" s="184">
        <v>3.2906005082884278E-2</v>
      </c>
      <c r="I24" s="188">
        <v>0.74</v>
      </c>
      <c r="J24" s="184">
        <v>0.19067257925024733</v>
      </c>
      <c r="K24" s="189">
        <f t="shared" si="1"/>
        <v>0.29377999999999999</v>
      </c>
      <c r="L24" s="190">
        <f>F24*'[1]Conversion Factors'!$B$3*K24*'[1]Conversion Factors'!$B$2</f>
        <v>570772.23443907325</v>
      </c>
      <c r="M24" s="191">
        <f>SQRT((C24/B24)^2+(E24/D24)^2+(H24/G24)^2+(J24/I24)^2)*(B24*D24*G24*I24)*'[1]Conversion Factors'!$B$2*'[1]Conversion Factors'!$B$3</f>
        <v>167691.53706265258</v>
      </c>
      <c r="N24" s="192">
        <f>-1*L24*'[1]Conversion Factors'!$B$5/1000000</f>
        <v>-2.0928315262766017</v>
      </c>
      <c r="O24" s="193">
        <f>M24*-1*'[1]Conversion Factors'!$B$5/1000000</f>
        <v>-0.61486896922972611</v>
      </c>
      <c r="P24" s="193">
        <f t="shared" si="2"/>
        <v>-3.2979747059668649</v>
      </c>
      <c r="Q24" s="193">
        <f t="shared" si="3"/>
        <v>-0.88768834658633855</v>
      </c>
    </row>
    <row r="25" spans="1:17">
      <c r="A25" s="46" t="s">
        <v>222</v>
      </c>
      <c r="B25" s="183">
        <v>937.07728800000007</v>
      </c>
      <c r="C25" s="184">
        <v>81.105592917798432</v>
      </c>
      <c r="D25" s="185">
        <v>0.52300000000000002</v>
      </c>
      <c r="E25" s="184">
        <v>4.4000000000000032E-2</v>
      </c>
      <c r="F25" s="186">
        <f t="shared" si="0"/>
        <v>490.09142162400008</v>
      </c>
      <c r="G25" s="187">
        <v>0.221</v>
      </c>
      <c r="H25" s="184">
        <v>1.831795245168117E-2</v>
      </c>
      <c r="I25" s="188">
        <v>0.74</v>
      </c>
      <c r="J25" s="184">
        <v>0.19067257925024733</v>
      </c>
      <c r="K25" s="189">
        <f t="shared" si="1"/>
        <v>0.16353999999999999</v>
      </c>
      <c r="L25" s="190">
        <f>F25*'[1]Conversion Factors'!$B$3*K25*'[1]Conversion Factors'!$B$2</f>
        <v>80149.551092388981</v>
      </c>
      <c r="M25" s="191">
        <f>SQRT((C25/B25)^2+(E25/D25)^2+(H25/G25)^2+(J25/I25)^2)*(B25*D25*G25*I25)*'[1]Conversion Factors'!$B$2*'[1]Conversion Factors'!$B$3</f>
        <v>23753.335267369133</v>
      </c>
      <c r="N25" s="192">
        <f>-1*L25*'[1]Conversion Factors'!$B$5/1000000</f>
        <v>-0.29388168733875958</v>
      </c>
      <c r="O25" s="193">
        <f>M25*-1*'[1]Conversion Factors'!$B$5/1000000</f>
        <v>-8.7095562647020147E-2</v>
      </c>
      <c r="P25" s="193">
        <f t="shared" si="2"/>
        <v>-0.46458899012691907</v>
      </c>
      <c r="Q25" s="193">
        <f t="shared" si="3"/>
        <v>-0.12317438455060009</v>
      </c>
    </row>
    <row r="26" spans="1:17">
      <c r="A26" s="46" t="s">
        <v>223</v>
      </c>
      <c r="B26" s="183">
        <v>5499.1084111999999</v>
      </c>
      <c r="C26" s="184">
        <v>447.39906198882608</v>
      </c>
      <c r="D26" s="185">
        <v>0.34299999999999997</v>
      </c>
      <c r="E26" s="184">
        <v>3.2999999999999981E-2</v>
      </c>
      <c r="F26" s="186">
        <f t="shared" si="0"/>
        <v>1886.1941850415999</v>
      </c>
      <c r="G26" s="187">
        <v>0.32300000000000001</v>
      </c>
      <c r="H26" s="184">
        <v>2.6772392044764785E-2</v>
      </c>
      <c r="I26" s="188">
        <v>0.74</v>
      </c>
      <c r="J26" s="184">
        <v>0.19067257925024733</v>
      </c>
      <c r="K26" s="189">
        <f t="shared" si="1"/>
        <v>0.23902000000000001</v>
      </c>
      <c r="L26" s="190">
        <f>F26*'[1]Conversion Factors'!$B$3*K26*'[1]Conversion Factors'!$B$2</f>
        <v>450838.13410864322</v>
      </c>
      <c r="M26" s="191">
        <f>SQRT((C26/B26)^2+(E26/D26)^2+(H26/G26)^2+(J26/I26)^2)*(B26*D26*G26*I26)*'[1]Conversion Factors'!$B$2*'[1]Conversion Factors'!$B$3</f>
        <v>134601.67428915139</v>
      </c>
      <c r="N26" s="192">
        <f>-1*L26*'[1]Conversion Factors'!$B$5/1000000</f>
        <v>-1.6530731583983584</v>
      </c>
      <c r="O26" s="193">
        <f>M26*-1*'[1]Conversion Factors'!$B$5/1000000</f>
        <v>-0.49353947239355506</v>
      </c>
      <c r="P26" s="193">
        <f t="shared" si="2"/>
        <v>-2.6204105242897264</v>
      </c>
      <c r="Q26" s="193">
        <f t="shared" si="3"/>
        <v>-0.68573579250699057</v>
      </c>
    </row>
    <row r="27" spans="1:17">
      <c r="A27" s="46" t="s">
        <v>224</v>
      </c>
      <c r="B27" s="183">
        <v>8012.7421568000009</v>
      </c>
      <c r="C27" s="184">
        <v>669.56948207556127</v>
      </c>
      <c r="D27" s="185">
        <v>0.65099999999999991</v>
      </c>
      <c r="E27" s="184">
        <v>2.6999999999999982E-2</v>
      </c>
      <c r="F27" s="186">
        <f t="shared" si="0"/>
        <v>5216.2951440768002</v>
      </c>
      <c r="G27" s="187">
        <v>0.254</v>
      </c>
      <c r="H27" s="184">
        <v>2.1053212320031753E-2</v>
      </c>
      <c r="I27" s="188">
        <v>0.74</v>
      </c>
      <c r="J27" s="184">
        <v>0.19067257925024733</v>
      </c>
      <c r="K27" s="189">
        <f t="shared" si="1"/>
        <v>0.18795999999999999</v>
      </c>
      <c r="L27" s="190">
        <f>F27*'[1]Conversion Factors'!$B$3*K27*'[1]Conversion Factors'!$B$2</f>
        <v>980454.83528067532</v>
      </c>
      <c r="M27" s="191">
        <f>SQRT((C27/B27)^2+(E27/D27)^2+(H27/G27)^2+(J27/I27)^2)*(B27*D27*G27*I27)*'[1]Conversion Factors'!$B$2*'[1]Conversion Factors'!$B$3</f>
        <v>280699.13644073851</v>
      </c>
      <c r="N27" s="192">
        <f>-1*L27*'[1]Conversion Factors'!$B$5/1000000</f>
        <v>-3.5950010626958093</v>
      </c>
      <c r="O27" s="193">
        <f>M27*-1*'[1]Conversion Factors'!$B$5/1000000</f>
        <v>-1.0292301669493744</v>
      </c>
      <c r="P27" s="193">
        <f t="shared" si="2"/>
        <v>-5.612292189916583</v>
      </c>
      <c r="Q27" s="193">
        <f t="shared" si="3"/>
        <v>-1.5777099354750357</v>
      </c>
    </row>
    <row r="28" spans="1:17">
      <c r="A28" s="46" t="s">
        <v>225</v>
      </c>
      <c r="B28" s="183">
        <v>9724.4425967999996</v>
      </c>
      <c r="C28" s="184">
        <v>812.22666584257161</v>
      </c>
      <c r="D28" s="185">
        <v>0.35</v>
      </c>
      <c r="E28" s="184">
        <v>2.5000000000000005E-2</v>
      </c>
      <c r="F28" s="186">
        <f t="shared" si="0"/>
        <v>3403.5549088799999</v>
      </c>
      <c r="G28" s="187">
        <v>0.22</v>
      </c>
      <c r="H28" s="184">
        <v>1.8235065789003878E-2</v>
      </c>
      <c r="I28" s="188">
        <v>0.74</v>
      </c>
      <c r="J28" s="184">
        <v>0.19067257925024733</v>
      </c>
      <c r="K28" s="189">
        <f t="shared" si="1"/>
        <v>0.1628</v>
      </c>
      <c r="L28" s="190">
        <f>F28*'[1]Conversion Factors'!$B$3*K28*'[1]Conversion Factors'!$B$2</f>
        <v>554098.73916566395</v>
      </c>
      <c r="M28" s="191">
        <f>SQRT((C28/B28)^2+(E28/D28)^2+(H28/G28)^2+(J28/I28)^2)*(B28*D28*G28*I28)*'[1]Conversion Factors'!$B$2*'[1]Conversion Factors'!$B$3</f>
        <v>161869.04221603638</v>
      </c>
      <c r="N28" s="192">
        <f>-1*L28*'[1]Conversion Factors'!$B$5/1000000</f>
        <v>-2.031695376940768</v>
      </c>
      <c r="O28" s="193">
        <f>M28*-1*'[1]Conversion Factors'!$B$5/1000000</f>
        <v>-0.5935198214588</v>
      </c>
      <c r="P28" s="193">
        <f t="shared" si="2"/>
        <v>-3.194994227000016</v>
      </c>
      <c r="Q28" s="193">
        <f t="shared" si="3"/>
        <v>-0.86839652688151991</v>
      </c>
    </row>
    <row r="29" spans="1:17">
      <c r="A29" s="46" t="s">
        <v>226</v>
      </c>
      <c r="B29" s="183">
        <v>4614.321356800001</v>
      </c>
      <c r="C29" s="184">
        <v>381.6349214679463</v>
      </c>
      <c r="D29" s="185">
        <v>0.34</v>
      </c>
      <c r="E29" s="184">
        <v>2.3999999999999987E-2</v>
      </c>
      <c r="F29" s="186">
        <f t="shared" si="0"/>
        <v>1568.8692613120004</v>
      </c>
      <c r="G29" s="187">
        <v>0.22900000000000001</v>
      </c>
      <c r="H29" s="184">
        <v>1.8981045753099494E-2</v>
      </c>
      <c r="I29" s="188">
        <v>0.74</v>
      </c>
      <c r="J29" s="184">
        <v>0.19067257925024733</v>
      </c>
      <c r="K29" s="189">
        <f t="shared" si="1"/>
        <v>0.16946</v>
      </c>
      <c r="L29" s="190">
        <f>F29*'[1]Conversion Factors'!$B$3*K29*'[1]Conversion Factors'!$B$2</f>
        <v>265860.58502193156</v>
      </c>
      <c r="M29" s="191">
        <f>SQRT((C29/B29)^2+(E29/D29)^2+(H29/G29)^2+(J29/I29)^2)*(B29*D29*G29*I29)*'[1]Conversion Factors'!$B$2*'[1]Conversion Factors'!$B$3</f>
        <v>77549.700095843407</v>
      </c>
      <c r="N29" s="192">
        <f>-1*L29*'[1]Conversion Factors'!$B$5/1000000</f>
        <v>-0.97482214508041565</v>
      </c>
      <c r="O29" s="193">
        <f>M29*-1*'[1]Conversion Factors'!$B$5/1000000</f>
        <v>-0.28434890035142579</v>
      </c>
      <c r="P29" s="193">
        <f t="shared" si="2"/>
        <v>-1.5321459897692102</v>
      </c>
      <c r="Q29" s="193">
        <f t="shared" si="3"/>
        <v>-0.41749830039162106</v>
      </c>
    </row>
    <row r="30" spans="1:17">
      <c r="A30" s="46" t="s">
        <v>227</v>
      </c>
      <c r="B30" s="183">
        <v>3127.1061935999996</v>
      </c>
      <c r="C30" s="184">
        <v>245.32709589537652</v>
      </c>
      <c r="D30" s="185">
        <v>0.47299999999999998</v>
      </c>
      <c r="E30" s="184">
        <v>3.4999999999999989E-2</v>
      </c>
      <c r="F30" s="186">
        <f t="shared" si="0"/>
        <v>1479.1212295727998</v>
      </c>
      <c r="G30" s="187">
        <v>0.34399999999999997</v>
      </c>
      <c r="H30" s="184">
        <v>2.8513011960987884E-2</v>
      </c>
      <c r="I30" s="188">
        <v>0.74</v>
      </c>
      <c r="J30" s="184">
        <v>0.19067257925024733</v>
      </c>
      <c r="K30" s="189">
        <f t="shared" si="1"/>
        <v>0.25455999999999995</v>
      </c>
      <c r="L30" s="190">
        <f>F30*'[1]Conversion Factors'!$B$3*K30*'[1]Conversion Factors'!$B$2</f>
        <v>376525.10020005191</v>
      </c>
      <c r="M30" s="191">
        <f>SQRT((C30/B30)^2+(E30/D30)^2+(H30/G30)^2+(J30/I30)^2)*(B30*D30*G30*I30)*'[1]Conversion Factors'!$B$2*'[1]Conversion Factors'!$B$3</f>
        <v>109705.12448771678</v>
      </c>
      <c r="N30" s="192">
        <f>-1*L30*'[1]Conversion Factors'!$B$5/1000000</f>
        <v>-1.3805920340668569</v>
      </c>
      <c r="O30" s="193">
        <f>M30*-1*'[1]Conversion Factors'!$B$5/1000000</f>
        <v>-0.40225212312162817</v>
      </c>
      <c r="P30" s="193">
        <f t="shared" si="2"/>
        <v>-2.169006195385248</v>
      </c>
      <c r="Q30" s="193">
        <f t="shared" si="3"/>
        <v>-0.59217787274846578</v>
      </c>
    </row>
    <row r="31" spans="1:17">
      <c r="A31" s="46" t="s">
        <v>228</v>
      </c>
      <c r="B31" s="183">
        <v>5676.0109792000003</v>
      </c>
      <c r="C31" s="184">
        <v>457.81639995598414</v>
      </c>
      <c r="D31" s="185">
        <v>0.315</v>
      </c>
      <c r="E31" s="184">
        <v>2.7000000000000007E-2</v>
      </c>
      <c r="F31" s="186">
        <f t="shared" si="0"/>
        <v>1787.943458448</v>
      </c>
      <c r="G31" s="187">
        <v>0.28499999999999998</v>
      </c>
      <c r="H31" s="184">
        <v>2.3622698863027751E-2</v>
      </c>
      <c r="I31" s="188">
        <v>0.74</v>
      </c>
      <c r="J31" s="184">
        <v>0.19067257925024733</v>
      </c>
      <c r="K31" s="189">
        <f t="shared" si="1"/>
        <v>0.21089999999999998</v>
      </c>
      <c r="L31" s="190">
        <f>F31*'[1]Conversion Factors'!$B$3*K31*'[1]Conversion Factors'!$B$2</f>
        <v>377077.27538668318</v>
      </c>
      <c r="M31" s="191">
        <f>SQRT((C31/B31)^2+(E31/D31)^2+(H31/G31)^2+(J31/I31)^2)*(B31*D31*G31*I31)*'[1]Conversion Factors'!$B$2*'[1]Conversion Factors'!$B$3</f>
        <v>111294.95454538809</v>
      </c>
      <c r="N31" s="192">
        <f>-1*L31*'[1]Conversion Factors'!$B$5/1000000</f>
        <v>-1.3826166764178383</v>
      </c>
      <c r="O31" s="193">
        <f>M31*-1*'[1]Conversion Factors'!$B$5/1000000</f>
        <v>-0.40808149999975629</v>
      </c>
      <c r="P31" s="193">
        <f t="shared" si="2"/>
        <v>-2.1824564164173603</v>
      </c>
      <c r="Q31" s="193">
        <f t="shared" si="3"/>
        <v>-0.58277693641831596</v>
      </c>
    </row>
    <row r="32" spans="1:17">
      <c r="A32" s="46" t="s">
        <v>229</v>
      </c>
      <c r="B32" s="183">
        <v>826.52363360000004</v>
      </c>
      <c r="C32" s="184">
        <v>66.144515313472496</v>
      </c>
      <c r="D32" s="185">
        <v>0.36299999999999999</v>
      </c>
      <c r="E32" s="184">
        <v>3.0000000000000009E-2</v>
      </c>
      <c r="F32" s="186">
        <f t="shared" si="0"/>
        <v>300.02807899679999</v>
      </c>
      <c r="G32" s="187">
        <v>0.184</v>
      </c>
      <c r="H32" s="184">
        <v>1.5251145932621427E-2</v>
      </c>
      <c r="I32" s="188">
        <v>0.74</v>
      </c>
      <c r="J32" s="184">
        <v>0.19067257925024733</v>
      </c>
      <c r="K32" s="189">
        <f t="shared" si="1"/>
        <v>0.13616</v>
      </c>
      <c r="L32" s="190">
        <f>F32*'[1]Conversion Factors'!$B$3*K32*'[1]Conversion Factors'!$B$2</f>
        <v>40851.823236204291</v>
      </c>
      <c r="M32" s="191">
        <f>SQRT((C32/B32)^2+(E32/D32)^2+(H32/G32)^2+(J32/I32)^2)*(B32*D32*G32*I32)*'[1]Conversion Factors'!$B$2*'[1]Conversion Factors'!$B$3</f>
        <v>12014.624686204696</v>
      </c>
      <c r="N32" s="192">
        <f>-1*L32*'[1]Conversion Factors'!$B$5/1000000</f>
        <v>-0.14979001853274906</v>
      </c>
      <c r="O32" s="193">
        <f>M32*-1*'[1]Conversion Factors'!$B$5/1000000</f>
        <v>-4.4053623849417217E-2</v>
      </c>
      <c r="P32" s="193">
        <f t="shared" si="2"/>
        <v>-0.2361351212776068</v>
      </c>
      <c r="Q32" s="193">
        <f t="shared" si="3"/>
        <v>-6.3444915787891326E-2</v>
      </c>
    </row>
    <row r="33" spans="1:17">
      <c r="A33" s="46" t="s">
        <v>230</v>
      </c>
      <c r="B33" s="183">
        <v>1460.9638176000001</v>
      </c>
      <c r="C33" s="184">
        <v>116.56439175354595</v>
      </c>
      <c r="D33" s="185">
        <v>0.15</v>
      </c>
      <c r="E33" s="184">
        <v>3.6000000000000004E-2</v>
      </c>
      <c r="F33" s="186">
        <f t="shared" si="0"/>
        <v>219.14457264000001</v>
      </c>
      <c r="G33" s="187">
        <v>0.23799999999999999</v>
      </c>
      <c r="H33" s="184">
        <v>1.9727025717195104E-2</v>
      </c>
      <c r="I33" s="188">
        <v>0.84386617100371741</v>
      </c>
      <c r="J33" s="194">
        <v>0.32975706436485797</v>
      </c>
      <c r="K33" s="189">
        <f t="shared" si="1"/>
        <v>0.20084014869888472</v>
      </c>
      <c r="L33" s="190">
        <f>F33*'[1]Conversion Factors'!$B$3*K33*'[1]Conversion Factors'!$B$2</f>
        <v>44013.028555571145</v>
      </c>
      <c r="M33" s="191">
        <f>SQRT((C33/B33)^2+(E33/D33)^2+(H33/G33)^2+(J33/I33)^2)*(B33*D33*G33*I33)*'[1]Conversion Factors'!$B$2*'[1]Conversion Factors'!$B$3</f>
        <v>20809.214179983584</v>
      </c>
      <c r="N33" s="192">
        <f>-1*L33*'[1]Conversion Factors'!$B$5/1000000</f>
        <v>-0.16138110470376085</v>
      </c>
      <c r="O33" s="193">
        <f>M33*-1*'[1]Conversion Factors'!$B$5/1000000</f>
        <v>-7.6300451993273136E-2</v>
      </c>
      <c r="P33" s="193">
        <f t="shared" si="2"/>
        <v>-0.31092999061057619</v>
      </c>
      <c r="Q33" s="193">
        <f t="shared" si="3"/>
        <v>-1.1832218796945515E-2</v>
      </c>
    </row>
    <row r="34" spans="1:17">
      <c r="A34" s="46" t="s">
        <v>231</v>
      </c>
      <c r="B34" s="183">
        <v>2334.7207343999999</v>
      </c>
      <c r="C34" s="184">
        <v>167.88944997698212</v>
      </c>
      <c r="D34" s="185">
        <v>9.6000000000000002E-2</v>
      </c>
      <c r="E34" s="184">
        <v>1.7999999999999995E-2</v>
      </c>
      <c r="F34" s="186">
        <f t="shared" si="0"/>
        <v>224.1331905024</v>
      </c>
      <c r="G34" s="187">
        <v>0.20699999999999999</v>
      </c>
      <c r="H34" s="184">
        <v>1.7157539174199106E-2</v>
      </c>
      <c r="I34" s="188">
        <v>0.74</v>
      </c>
      <c r="J34" s="184">
        <v>0.19067257925024733</v>
      </c>
      <c r="K34" s="189">
        <f t="shared" si="1"/>
        <v>0.15317999999999998</v>
      </c>
      <c r="L34" s="190">
        <f>F34*'[1]Conversion Factors'!$B$3*K34*'[1]Conversion Factors'!$B$2</f>
        <v>34332.722121157633</v>
      </c>
      <c r="M34" s="191">
        <f>SQRT((C34/B34)^2+(E34/D34)^2+(H34/G34)^2+(J34/I34)^2)*(B34*D34*G34*I34)*'[1]Conversion Factors'!$B$2*'[1]Conversion Factors'!$B$3</f>
        <v>11571.149310793771</v>
      </c>
      <c r="N34" s="192">
        <f>-1*L34*'[1]Conversion Factors'!$B$5/1000000</f>
        <v>-0.12588664777757799</v>
      </c>
      <c r="O34" s="193">
        <f>M34*-1*'[1]Conversion Factors'!$B$5/1000000</f>
        <v>-4.2427547472910491E-2</v>
      </c>
      <c r="P34" s="193">
        <f t="shared" si="2"/>
        <v>-0.20904464082448254</v>
      </c>
      <c r="Q34" s="193">
        <f t="shared" si="3"/>
        <v>-4.2728654730673429E-2</v>
      </c>
    </row>
    <row r="35" spans="1:17">
      <c r="A35" s="46" t="s">
        <v>232</v>
      </c>
      <c r="B35" s="183">
        <v>1789.8865952000001</v>
      </c>
      <c r="C35" s="184">
        <v>143.36541171726711</v>
      </c>
      <c r="D35" s="185">
        <v>0.66</v>
      </c>
      <c r="E35" s="184">
        <v>4.7000000000000035E-2</v>
      </c>
      <c r="F35" s="186">
        <f t="shared" si="0"/>
        <v>1181.3251528320002</v>
      </c>
      <c r="G35" s="187">
        <v>0.217</v>
      </c>
      <c r="H35" s="184">
        <v>1.7986405800972008E-2</v>
      </c>
      <c r="I35" s="188">
        <v>0.74</v>
      </c>
      <c r="J35" s="184">
        <v>0.19067257925024733</v>
      </c>
      <c r="K35" s="189">
        <f t="shared" si="1"/>
        <v>0.16058</v>
      </c>
      <c r="L35" s="190">
        <f>F35*'[1]Conversion Factors'!$B$3*K35*'[1]Conversion Factors'!$B$2</f>
        <v>189697.1930417626</v>
      </c>
      <c r="M35" s="191">
        <f>SQRT((C35/B35)^2+(E35/D35)^2+(H35/G35)^2+(J35/I35)^2)*(B35*D35*G35*I35)*'[1]Conversion Factors'!$B$2*'[1]Conversion Factors'!$B$3</f>
        <v>55223.898608446085</v>
      </c>
      <c r="N35" s="192">
        <f>-1*L35*'[1]Conversion Factors'!$B$5/1000000</f>
        <v>-0.69555637448646279</v>
      </c>
      <c r="O35" s="193">
        <f>M35*-1*'[1]Conversion Factors'!$B$5/1000000</f>
        <v>-0.20248762823096897</v>
      </c>
      <c r="P35" s="193">
        <f t="shared" si="2"/>
        <v>-1.0924321258191618</v>
      </c>
      <c r="Q35" s="193">
        <f t="shared" si="3"/>
        <v>-0.29868062315376365</v>
      </c>
    </row>
    <row r="36" spans="1:17">
      <c r="A36" s="46" t="s">
        <v>233</v>
      </c>
      <c r="B36" s="183">
        <v>7716.1995936000003</v>
      </c>
      <c r="C36" s="184">
        <v>656.53498007641952</v>
      </c>
      <c r="D36" s="185">
        <v>0.53299999999999992</v>
      </c>
      <c r="E36" s="184">
        <v>2.8999999999999991E-2</v>
      </c>
      <c r="F36" s="186">
        <f t="shared" si="0"/>
        <v>4112.7343833887999</v>
      </c>
      <c r="G36" s="187">
        <v>0.29399999999999998</v>
      </c>
      <c r="H36" s="184">
        <v>2.4368678827123368E-2</v>
      </c>
      <c r="I36" s="188">
        <v>0.74</v>
      </c>
      <c r="J36" s="184">
        <v>0.19067257925024733</v>
      </c>
      <c r="K36" s="189">
        <f t="shared" si="1"/>
        <v>0.21755999999999998</v>
      </c>
      <c r="L36" s="190">
        <f>F36*'[1]Conversion Factors'!$B$3*K36*'[1]Conversion Factors'!$B$2</f>
        <v>894766.49245006719</v>
      </c>
      <c r="M36" s="191">
        <f>SQRT((C36/B36)^2+(E36/D36)^2+(H36/G36)^2+(J36/I36)^2)*(B36*D36*G36*I36)*'[1]Conversion Factors'!$B$2*'[1]Conversion Factors'!$B$3</f>
        <v>258495.59148867367</v>
      </c>
      <c r="N36" s="192">
        <f>-1*L36*'[1]Conversion Factors'!$B$5/1000000</f>
        <v>-3.2808104723169129</v>
      </c>
      <c r="O36" s="193">
        <f>M36*-1*'[1]Conversion Factors'!$B$5/1000000</f>
        <v>-0.94781716879180344</v>
      </c>
      <c r="P36" s="193">
        <f t="shared" si="2"/>
        <v>-5.1385321231488472</v>
      </c>
      <c r="Q36" s="193">
        <f t="shared" si="3"/>
        <v>-1.4230888214849782</v>
      </c>
    </row>
    <row r="37" spans="1:17">
      <c r="A37" s="46" t="s">
        <v>234</v>
      </c>
      <c r="B37" s="183">
        <v>2256.4911487999998</v>
      </c>
      <c r="C37" s="184">
        <v>184.69604888772824</v>
      </c>
      <c r="D37" s="185">
        <v>0.12</v>
      </c>
      <c r="E37" s="184">
        <v>2.4999999999999991E-2</v>
      </c>
      <c r="F37" s="186">
        <f t="shared" si="0"/>
        <v>270.77893785599997</v>
      </c>
      <c r="G37" s="187">
        <v>0.26300000000000001</v>
      </c>
      <c r="H37" s="184">
        <v>2.1799192284127366E-2</v>
      </c>
      <c r="I37" s="188">
        <v>0.74</v>
      </c>
      <c r="J37" s="184">
        <v>0.19067257925024733</v>
      </c>
      <c r="K37" s="189">
        <f t="shared" si="1"/>
        <v>0.19462000000000002</v>
      </c>
      <c r="L37" s="190">
        <f>F37*'[1]Conversion Factors'!$B$3*K37*'[1]Conversion Factors'!$B$2</f>
        <v>52698.996885534711</v>
      </c>
      <c r="M37" s="191">
        <f>SQRT((C37/B37)^2+(E37/D37)^2+(H37/G37)^2+(J37/I37)^2)*(B37*D37*G37*I37)*'[1]Conversion Factors'!$B$2*'[1]Conversion Factors'!$B$3</f>
        <v>18509.591357695062</v>
      </c>
      <c r="N37" s="192">
        <f>-1*L37*'[1]Conversion Factors'!$B$5/1000000</f>
        <v>-0.19322965524696062</v>
      </c>
      <c r="O37" s="193">
        <f>M37*-1*'[1]Conversion Factors'!$B$5/1000000</f>
        <v>-6.7868501644881896E-2</v>
      </c>
      <c r="P37" s="193">
        <f t="shared" si="2"/>
        <v>-0.32625191847092916</v>
      </c>
      <c r="Q37" s="193">
        <f t="shared" si="3"/>
        <v>-6.0207392022992107E-2</v>
      </c>
    </row>
    <row r="38" spans="1:17">
      <c r="A38" s="46" t="s">
        <v>235</v>
      </c>
      <c r="B38" s="183">
        <v>10790.457971200001</v>
      </c>
      <c r="C38" s="184">
        <v>920.57873839010063</v>
      </c>
      <c r="D38" s="185">
        <v>0.42599999999999999</v>
      </c>
      <c r="E38" s="184">
        <v>2.1999999999999988E-2</v>
      </c>
      <c r="F38" s="186">
        <f t="shared" si="0"/>
        <v>4596.7350957312001</v>
      </c>
      <c r="G38" s="187">
        <v>0.24</v>
      </c>
      <c r="H38" s="184">
        <v>1.9892799042549685E-2</v>
      </c>
      <c r="I38" s="188">
        <v>0.74</v>
      </c>
      <c r="J38" s="184">
        <v>0.19067257925024733</v>
      </c>
      <c r="K38" s="189">
        <f t="shared" si="1"/>
        <v>0.17759999999999998</v>
      </c>
      <c r="L38" s="190">
        <f>F38*'[1]Conversion Factors'!$B$3*K38*'[1]Conversion Factors'!$B$2</f>
        <v>816380.15300186106</v>
      </c>
      <c r="M38" s="191">
        <f>SQRT((C38/B38)^2+(E38/D38)^2+(H38/G38)^2+(J38/I38)^2)*(B38*D38*G38*I38)*'[1]Conversion Factors'!$B$2*'[1]Conversion Factors'!$B$3</f>
        <v>235490.38202783692</v>
      </c>
      <c r="N38" s="192">
        <f>-1*L38*'[1]Conversion Factors'!$B$5/1000000</f>
        <v>-2.9933938943401572</v>
      </c>
      <c r="O38" s="193">
        <f>M38*-1*'[1]Conversion Factors'!$B$5/1000000</f>
        <v>-0.8634647341020687</v>
      </c>
      <c r="P38" s="193">
        <f t="shared" si="2"/>
        <v>-4.6857847731802114</v>
      </c>
      <c r="Q38" s="193">
        <f t="shared" si="3"/>
        <v>-1.3010030155001027</v>
      </c>
    </row>
    <row r="39" spans="1:17">
      <c r="A39" s="46" t="s">
        <v>236</v>
      </c>
      <c r="B39" s="183">
        <v>13568.9591296</v>
      </c>
      <c r="C39" s="184">
        <v>1014.5682852740184</v>
      </c>
      <c r="D39" s="185">
        <v>0.51100000000000001</v>
      </c>
      <c r="E39" s="184">
        <v>2.2999999999999989E-2</v>
      </c>
      <c r="F39" s="186">
        <f t="shared" si="0"/>
        <v>6933.7381152256003</v>
      </c>
      <c r="G39" s="187">
        <v>0.312</v>
      </c>
      <c r="H39" s="184">
        <v>2.5860638755314594E-2</v>
      </c>
      <c r="I39" s="188">
        <v>0.74</v>
      </c>
      <c r="J39" s="184">
        <v>0.19067257925024733</v>
      </c>
      <c r="K39" s="189">
        <f t="shared" si="1"/>
        <v>0.23088</v>
      </c>
      <c r="L39" s="190">
        <f>F39*'[1]Conversion Factors'!$B$3*K39*'[1]Conversion Factors'!$B$2</f>
        <v>1600861.4560432865</v>
      </c>
      <c r="M39" s="191">
        <f>SQRT((C39/B39)^2+(E39/D39)^2+(H39/G39)^2+(J39/I39)^2)*(B39*D39*G39*I39)*'[1]Conversion Factors'!$B$2*'[1]Conversion Factors'!$B$3</f>
        <v>455271.06105925207</v>
      </c>
      <c r="N39" s="192">
        <f>-1*L39*'[1]Conversion Factors'!$B$5/1000000</f>
        <v>-5.8698253388253834</v>
      </c>
      <c r="O39" s="193">
        <f>M39*-1*'[1]Conversion Factors'!$B$5/1000000</f>
        <v>-1.6693272238839241</v>
      </c>
      <c r="P39" s="193">
        <f t="shared" si="2"/>
        <v>-9.1417066976378756</v>
      </c>
      <c r="Q39" s="193">
        <f t="shared" si="3"/>
        <v>-2.5979439800128921</v>
      </c>
    </row>
    <row r="40" spans="1:17">
      <c r="A40" s="46" t="s">
        <v>237</v>
      </c>
      <c r="B40" s="183">
        <v>535.35736320000001</v>
      </c>
      <c r="C40" s="184">
        <v>40.533434602474991</v>
      </c>
      <c r="D40" s="185">
        <v>0.13</v>
      </c>
      <c r="E40" s="184">
        <v>3.4000000000000002E-2</v>
      </c>
      <c r="F40" s="186">
        <f t="shared" si="0"/>
        <v>69.596457216000005</v>
      </c>
      <c r="G40" s="187">
        <v>0.223</v>
      </c>
      <c r="H40" s="184">
        <v>1.8483725777035751E-2</v>
      </c>
      <c r="I40" s="188">
        <v>0.47517730496453908</v>
      </c>
      <c r="J40" s="194">
        <v>0.31016060483734953</v>
      </c>
      <c r="K40" s="189">
        <f t="shared" si="1"/>
        <v>0.10596453900709221</v>
      </c>
      <c r="L40" s="190">
        <f>F40*'[1]Conversion Factors'!$B$3*K40*'[1]Conversion Factors'!$B$2</f>
        <v>7374.7565054202569</v>
      </c>
      <c r="M40" s="191">
        <f>SQRT((C40/B40)^2+(E40/D40)^2+(H40/G40)^2+(J40/I40)^2)*(B40*D40*G40*I40)*'[1]Conversion Factors'!$B$2*'[1]Conversion Factors'!$B$3</f>
        <v>5251.408175876617</v>
      </c>
      <c r="N40" s="192">
        <f>-1*L40*'[1]Conversion Factors'!$B$5/1000000</f>
        <v>-2.7040773853207606E-2</v>
      </c>
      <c r="O40" s="193">
        <f>M40*-1*'[1]Conversion Factors'!$B$5/1000000</f>
        <v>-1.9255163311547596E-2</v>
      </c>
      <c r="P40" s="193">
        <f t="shared" si="2"/>
        <v>-6.47808939438409E-2</v>
      </c>
      <c r="Q40" s="193">
        <f t="shared" si="3"/>
        <v>1.0699346237425682E-2</v>
      </c>
    </row>
    <row r="41" spans="1:17">
      <c r="A41" s="46" t="s">
        <v>238</v>
      </c>
      <c r="B41" s="183">
        <v>12081.321379199999</v>
      </c>
      <c r="C41" s="184">
        <v>987.27503830273565</v>
      </c>
      <c r="D41" s="185">
        <v>0.315</v>
      </c>
      <c r="E41" s="184">
        <v>2.0999999999999991E-2</v>
      </c>
      <c r="F41" s="186">
        <f t="shared" si="0"/>
        <v>3805.6162344479994</v>
      </c>
      <c r="G41" s="187">
        <v>0.248</v>
      </c>
      <c r="H41" s="184">
        <v>2.055589234396801E-2</v>
      </c>
      <c r="I41" s="188">
        <v>0.74</v>
      </c>
      <c r="J41" s="184">
        <v>0.19067257925024733</v>
      </c>
      <c r="K41" s="189">
        <f t="shared" si="1"/>
        <v>0.18351999999999999</v>
      </c>
      <c r="L41" s="190">
        <f>F41*'[1]Conversion Factors'!$B$3*K41*'[1]Conversion Factors'!$B$2</f>
        <v>698406.6913458968</v>
      </c>
      <c r="M41" s="191">
        <f>SQRT((C41/B41)^2+(E41/D41)^2+(H41/G41)^2+(J41/I41)^2)*(B41*D41*G41*I41)*'[1]Conversion Factors'!$B$2*'[1]Conversion Factors'!$B$3</f>
        <v>202879.92525112693</v>
      </c>
      <c r="N41" s="192">
        <f>-1*L41*'[1]Conversion Factors'!$B$5/1000000</f>
        <v>-2.5608245349349548</v>
      </c>
      <c r="O41" s="193">
        <f>M41*-1*'[1]Conversion Factors'!$B$5/1000000</f>
        <v>-0.74389305925413207</v>
      </c>
      <c r="P41" s="193">
        <f t="shared" si="2"/>
        <v>-4.0188549310730535</v>
      </c>
      <c r="Q41" s="193">
        <f t="shared" si="3"/>
        <v>-1.1027941387968558</v>
      </c>
    </row>
    <row r="42" spans="1:17">
      <c r="A42" s="46" t="s">
        <v>239</v>
      </c>
      <c r="B42" s="183">
        <v>3610.1850160000004</v>
      </c>
      <c r="C42" s="184">
        <v>291.22135733109724</v>
      </c>
      <c r="D42" s="185">
        <v>0.312</v>
      </c>
      <c r="E42" s="184">
        <v>2.1999999999999988E-2</v>
      </c>
      <c r="F42" s="186">
        <f t="shared" si="0"/>
        <v>1126.3777249920001</v>
      </c>
      <c r="G42" s="187">
        <v>0.33200000000000002</v>
      </c>
      <c r="H42" s="184">
        <v>2.7518372008860401E-2</v>
      </c>
      <c r="I42" s="188">
        <v>0.74</v>
      </c>
      <c r="J42" s="184">
        <v>0.19067257925024733</v>
      </c>
      <c r="K42" s="189">
        <f t="shared" si="1"/>
        <v>0.24568000000000001</v>
      </c>
      <c r="L42" s="190">
        <f>F42*'[1]Conversion Factors'!$B$3*K42*'[1]Conversion Factors'!$B$2</f>
        <v>276728.47947603458</v>
      </c>
      <c r="M42" s="191">
        <f>SQRT((C42/B42)^2+(E42/D42)^2+(H42/G42)^2+(J42/I42)^2)*(B42*D42*G42*I42)*'[1]Conversion Factors'!$B$2*'[1]Conversion Factors'!$B$3</f>
        <v>80556.484251024915</v>
      </c>
      <c r="N42" s="192">
        <f>-1*L42*'[1]Conversion Factors'!$B$5/1000000</f>
        <v>-1.0146710914121269</v>
      </c>
      <c r="O42" s="193">
        <f>M42*-1*'[1]Conversion Factors'!$B$5/1000000</f>
        <v>-0.29537377558709133</v>
      </c>
      <c r="P42" s="193">
        <f t="shared" si="2"/>
        <v>-1.593603691562826</v>
      </c>
      <c r="Q42" s="193">
        <f t="shared" si="3"/>
        <v>-0.43573849126142783</v>
      </c>
    </row>
    <row r="43" spans="1:17">
      <c r="A43" s="46" t="s">
        <v>240</v>
      </c>
      <c r="B43" s="183">
        <v>2988.0166400000003</v>
      </c>
      <c r="C43" s="184">
        <v>247.8088437683694</v>
      </c>
      <c r="D43" s="185">
        <v>0.36599999999999999</v>
      </c>
      <c r="E43" s="184">
        <v>4.1999999999999996E-2</v>
      </c>
      <c r="F43" s="186">
        <f t="shared" si="0"/>
        <v>1093.61409024</v>
      </c>
      <c r="G43" s="187">
        <v>0.24199999999999999</v>
      </c>
      <c r="H43" s="184">
        <v>2.0058572367904266E-2</v>
      </c>
      <c r="I43" s="188">
        <v>0.74</v>
      </c>
      <c r="J43" s="184">
        <v>0.19067257925024733</v>
      </c>
      <c r="K43" s="189">
        <f t="shared" si="1"/>
        <v>0.17907999999999999</v>
      </c>
      <c r="L43" s="190">
        <f>F43*'[1]Conversion Factors'!$B$3*K43*'[1]Conversion Factors'!$B$2</f>
        <v>195844.41128017919</v>
      </c>
      <c r="M43" s="191">
        <f>SQRT((C43/B43)^2+(E43/D43)^2+(H43/G43)^2+(J43/I43)^2)*(B43*D43*G43*I43)*'[1]Conversion Factors'!$B$2*'[1]Conversion Factors'!$B$3</f>
        <v>59823.455158111057</v>
      </c>
      <c r="N43" s="192">
        <f>-1*L43*'[1]Conversion Factors'!$B$5/1000000</f>
        <v>-0.71809617469399034</v>
      </c>
      <c r="O43" s="193">
        <f>M43*-1*'[1]Conversion Factors'!$B$5/1000000</f>
        <v>-0.21935266891307387</v>
      </c>
      <c r="P43" s="193">
        <f t="shared" si="2"/>
        <v>-1.1480274057636151</v>
      </c>
      <c r="Q43" s="193">
        <f t="shared" si="3"/>
        <v>-0.28816494362436557</v>
      </c>
    </row>
    <row r="44" spans="1:17">
      <c r="A44" s="46" t="s">
        <v>241</v>
      </c>
      <c r="B44" s="183">
        <v>12869.6672368</v>
      </c>
      <c r="C44" s="184">
        <v>1050.7563585928515</v>
      </c>
      <c r="D44" s="185">
        <v>0.41</v>
      </c>
      <c r="E44" s="184">
        <v>2.2000000000000016E-2</v>
      </c>
      <c r="F44" s="186">
        <f t="shared" si="0"/>
        <v>5276.5635670879992</v>
      </c>
      <c r="G44" s="187">
        <v>0.24399999999999999</v>
      </c>
      <c r="H44" s="184">
        <v>2.0224345693258847E-2</v>
      </c>
      <c r="I44" s="188">
        <v>0.74</v>
      </c>
      <c r="J44" s="184">
        <v>0.19067257925024733</v>
      </c>
      <c r="K44" s="189">
        <f t="shared" si="1"/>
        <v>0.18056</v>
      </c>
      <c r="L44" s="190">
        <f>F44*'[1]Conversion Factors'!$B$3*K44*'[1]Conversion Factors'!$B$2</f>
        <v>952736.31767340912</v>
      </c>
      <c r="M44" s="191">
        <f>SQRT((C44/B44)^2+(E44/D44)^2+(H44/G44)^2+(J44/I44)^2)*(B44*D44*G44*I44)*'[1]Conversion Factors'!$B$2*'[1]Conversion Factors'!$B$3</f>
        <v>274161.50324067124</v>
      </c>
      <c r="N44" s="192">
        <f>-1*L44*'[1]Conversion Factors'!$B$5/1000000</f>
        <v>-3.4933664981358334</v>
      </c>
      <c r="O44" s="193">
        <f>M44*-1*'[1]Conversion Factors'!$B$5/1000000</f>
        <v>-1.0052588452157944</v>
      </c>
      <c r="P44" s="193">
        <f t="shared" si="2"/>
        <v>-5.4636738347587901</v>
      </c>
      <c r="Q44" s="193">
        <f t="shared" si="3"/>
        <v>-1.5230591615128763</v>
      </c>
    </row>
    <row r="45" spans="1:17">
      <c r="A45" s="46" t="s">
        <v>242</v>
      </c>
      <c r="B45" s="183">
        <v>1044.6399008000001</v>
      </c>
      <c r="C45" s="184">
        <v>90.343228819159847</v>
      </c>
      <c r="D45" s="185">
        <v>0.51</v>
      </c>
      <c r="E45" s="184">
        <v>4.9999999999999989E-2</v>
      </c>
      <c r="F45" s="186">
        <f t="shared" si="0"/>
        <v>532.766349408</v>
      </c>
      <c r="G45" s="187">
        <v>0.25800000000000001</v>
      </c>
      <c r="H45" s="184">
        <v>2.1384758970740915E-2</v>
      </c>
      <c r="I45" s="188">
        <v>0.74</v>
      </c>
      <c r="J45" s="184">
        <v>0.19067257925024733</v>
      </c>
      <c r="K45" s="189">
        <f t="shared" si="1"/>
        <v>0.19092000000000001</v>
      </c>
      <c r="L45" s="190">
        <f>F45*'[1]Conversion Factors'!$B$3*K45*'[1]Conversion Factors'!$B$2</f>
        <v>101715.75142897536</v>
      </c>
      <c r="M45" s="191">
        <f>SQRT((C45/B45)^2+(E45/D45)^2+(H45/G45)^2+(J45/I45)^2)*(B45*D45*G45*I45)*'[1]Conversion Factors'!$B$2*'[1]Conversion Factors'!$B$3</f>
        <v>30574.462544404221</v>
      </c>
      <c r="N45" s="192">
        <f>-1*L45*'[1]Conversion Factors'!$B$5/1000000</f>
        <v>-0.37295775523957625</v>
      </c>
      <c r="O45" s="193">
        <f>M45*-1*'[1]Conversion Factors'!$B$5/1000000</f>
        <v>-0.11210636266281547</v>
      </c>
      <c r="P45" s="193">
        <f t="shared" si="2"/>
        <v>-0.59268622605869459</v>
      </c>
      <c r="Q45" s="193">
        <f t="shared" si="3"/>
        <v>-0.15322928442045794</v>
      </c>
    </row>
    <row r="46" spans="1:17">
      <c r="A46" s="46" t="s">
        <v>243</v>
      </c>
      <c r="B46" s="183">
        <v>6970.2609696</v>
      </c>
      <c r="C46" s="184">
        <v>524.82992724416977</v>
      </c>
      <c r="D46" s="185">
        <v>0.48899999999999999</v>
      </c>
      <c r="E46" s="184">
        <v>3.0000000000000023E-2</v>
      </c>
      <c r="F46" s="186">
        <f t="shared" si="0"/>
        <v>3408.4576141344</v>
      </c>
      <c r="G46" s="187">
        <v>0.33800000000000002</v>
      </c>
      <c r="H46" s="184">
        <v>2.8015691984924145E-2</v>
      </c>
      <c r="I46" s="188">
        <v>0.74</v>
      </c>
      <c r="J46" s="184">
        <v>0.19067257925024733</v>
      </c>
      <c r="K46" s="189">
        <f t="shared" si="1"/>
        <v>0.25012000000000001</v>
      </c>
      <c r="L46" s="190">
        <f>F46*'[1]Conversion Factors'!$B$3*K46*'[1]Conversion Factors'!$B$2</f>
        <v>852523.41844729614</v>
      </c>
      <c r="M46" s="191">
        <f>SQRT((C46/B46)^2+(E46/D46)^2+(H46/G46)^2+(J46/I46)^2)*(B46*D46*G46*I46)*'[1]Conversion Factors'!$B$2*'[1]Conversion Factors'!$B$3</f>
        <v>245157.92263349026</v>
      </c>
      <c r="N46" s="192">
        <f>-1*L46*'[1]Conversion Factors'!$B$5/1000000</f>
        <v>-3.1259192009734189</v>
      </c>
      <c r="O46" s="193">
        <f>M46*-1*'[1]Conversion Factors'!$B$5/1000000</f>
        <v>-0.89891238298946419</v>
      </c>
      <c r="P46" s="193">
        <f t="shared" si="2"/>
        <v>-4.8877874716327687</v>
      </c>
      <c r="Q46" s="193">
        <f t="shared" si="3"/>
        <v>-1.3640509303140691</v>
      </c>
    </row>
    <row r="47" spans="1:17">
      <c r="A47" s="46" t="s">
        <v>244</v>
      </c>
      <c r="B47" s="183">
        <v>676.14446079999993</v>
      </c>
      <c r="C47" s="184">
        <v>49.671821436551802</v>
      </c>
      <c r="D47" s="185">
        <v>0.14000000000000001</v>
      </c>
      <c r="E47" s="184">
        <v>3.4999999999999989E-2</v>
      </c>
      <c r="F47" s="186">
        <f t="shared" si="0"/>
        <v>94.660224511999999</v>
      </c>
      <c r="G47" s="187">
        <v>0.23599999999999999</v>
      </c>
      <c r="H47" s="184">
        <v>1.9561252391840526E-2</v>
      </c>
      <c r="I47" s="188">
        <v>0.8671875</v>
      </c>
      <c r="J47" s="195">
        <v>0.2461075854575151</v>
      </c>
      <c r="K47" s="189">
        <f t="shared" si="1"/>
        <v>0.20465624999999998</v>
      </c>
      <c r="L47" s="190">
        <f>F47*'[1]Conversion Factors'!$B$3*K47*'[1]Conversion Factors'!$B$2</f>
        <v>19372.806572784</v>
      </c>
      <c r="M47" s="191">
        <f>SQRT((C47/B47)^2+(E47/D47)^2+(H47/G47)^2+(J47/I47)^2)*(B47*D47*G47*I47)*'[1]Conversion Factors'!$B$2*'[1]Conversion Factors'!$B$3</f>
        <v>7634.6888854868412</v>
      </c>
      <c r="N47" s="192">
        <f>-1*L47*'[1]Conversion Factors'!$B$5/1000000</f>
        <v>-7.1033624100207998E-2</v>
      </c>
      <c r="O47" s="193">
        <f>M47*-1*'[1]Conversion Factors'!$B$5/1000000</f>
        <v>-2.7993859246785081E-2</v>
      </c>
      <c r="P47" s="193">
        <f t="shared" si="2"/>
        <v>-0.12590158822390676</v>
      </c>
      <c r="Q47" s="193">
        <f t="shared" si="3"/>
        <v>-1.616565997650924E-2</v>
      </c>
    </row>
    <row r="48" spans="1:17">
      <c r="A48" s="46" t="s">
        <v>245</v>
      </c>
      <c r="B48" s="183">
        <v>8256.4988656000005</v>
      </c>
      <c r="C48" s="184">
        <v>643.84336405873773</v>
      </c>
      <c r="D48" s="185">
        <v>0.43799999999999994</v>
      </c>
      <c r="E48" s="184">
        <v>2.4999999999999974E-2</v>
      </c>
      <c r="F48" s="186">
        <f t="shared" si="0"/>
        <v>3616.3465031327996</v>
      </c>
      <c r="G48" s="187">
        <v>0.30299999999999999</v>
      </c>
      <c r="H48" s="184">
        <v>2.5114658791218981E-2</v>
      </c>
      <c r="I48" s="188">
        <v>0.89411764705882346</v>
      </c>
      <c r="J48" s="195">
        <v>8.0684562854154207E-2</v>
      </c>
      <c r="K48" s="189">
        <f t="shared" si="1"/>
        <v>0.27091764705882349</v>
      </c>
      <c r="L48" s="190">
        <f>F48*'[1]Conversion Factors'!$B$3*K48*'[1]Conversion Factors'!$B$2</f>
        <v>979732.08557814232</v>
      </c>
      <c r="M48" s="191">
        <f>SQRT((C48/B48)^2+(E48/D48)^2+(H48/G48)^2+(J48/I48)^2)*(B48*D48*G48*I48)*'[1]Conversion Factors'!$B$2*'[1]Conversion Factors'!$B$3</f>
        <v>152888.74810318253</v>
      </c>
      <c r="N48" s="192">
        <f>-1*L48*'[1]Conversion Factors'!$B$5/1000000</f>
        <v>-3.5923509804531886</v>
      </c>
      <c r="O48" s="193">
        <f>M48*-1*'[1]Conversion Factors'!$B$5/1000000</f>
        <v>-0.56059207637833597</v>
      </c>
      <c r="P48" s="193">
        <f t="shared" si="2"/>
        <v>-4.6911114501547271</v>
      </c>
      <c r="Q48" s="193">
        <f t="shared" si="3"/>
        <v>-2.4935905107516501</v>
      </c>
    </row>
    <row r="49" spans="1:17">
      <c r="A49" s="46" t="s">
        <v>246</v>
      </c>
      <c r="B49" s="183">
        <v>25132.615361600001</v>
      </c>
      <c r="C49" s="184">
        <v>1934.0149474482735</v>
      </c>
      <c r="D49" s="185">
        <v>0.314</v>
      </c>
      <c r="E49" s="184">
        <v>1.3000000000000027E-2</v>
      </c>
      <c r="F49" s="186">
        <f t="shared" si="0"/>
        <v>7891.6412235424004</v>
      </c>
      <c r="G49" s="187">
        <v>0.36799999999999999</v>
      </c>
      <c r="H49" s="184">
        <v>3.0502291865242854E-2</v>
      </c>
      <c r="I49" s="188">
        <v>0.74</v>
      </c>
      <c r="J49" s="184">
        <v>0.19067257925024733</v>
      </c>
      <c r="K49" s="189">
        <f t="shared" si="1"/>
        <v>0.27232000000000001</v>
      </c>
      <c r="L49" s="190">
        <f>F49*'[1]Conversion Factors'!$B$3*K49*'[1]Conversion Factors'!$B$2</f>
        <v>2149051.7379950667</v>
      </c>
      <c r="M49" s="191">
        <f>SQRT((C49/B49)^2+(E49/D49)^2+(H49/G49)^2+(J49/I49)^2)*(B49*D49*G49*I49)*'[1]Conversion Factors'!$B$2*'[1]Conversion Factors'!$B$3</f>
        <v>611243.81688533467</v>
      </c>
      <c r="N49" s="192">
        <f>-1*L49*'[1]Conversion Factors'!$B$5/1000000</f>
        <v>-7.8798563726485771</v>
      </c>
      <c r="O49" s="193">
        <f>M49*-1*'[1]Conversion Factors'!$B$5/1000000</f>
        <v>-2.2412273285795603</v>
      </c>
      <c r="P49" s="193">
        <f t="shared" si="2"/>
        <v>-12.272661936664516</v>
      </c>
      <c r="Q49" s="193">
        <f t="shared" si="3"/>
        <v>-3.4870508086326391</v>
      </c>
    </row>
    <row r="50" spans="1:17">
      <c r="A50" s="46" t="s">
        <v>247</v>
      </c>
      <c r="B50" s="183">
        <v>2717.0722975999997</v>
      </c>
      <c r="C50" s="184">
        <v>200.99993535691371</v>
      </c>
      <c r="D50" s="185">
        <v>0.16399999999999998</v>
      </c>
      <c r="E50" s="184">
        <v>2.5999999999999995E-2</v>
      </c>
      <c r="F50" s="186">
        <f t="shared" si="0"/>
        <v>445.59985680639988</v>
      </c>
      <c r="G50" s="187">
        <v>0.215</v>
      </c>
      <c r="H50" s="184">
        <v>1.7820632475617427E-2</v>
      </c>
      <c r="I50" s="188">
        <v>0.74</v>
      </c>
      <c r="J50" s="184">
        <v>0.19067257925024733</v>
      </c>
      <c r="K50" s="189">
        <f t="shared" si="1"/>
        <v>0.15909999999999999</v>
      </c>
      <c r="L50" s="190">
        <f>F50*'[1]Conversion Factors'!$B$3*K50*'[1]Conversion Factors'!$B$2</f>
        <v>70894.937217898216</v>
      </c>
      <c r="M50" s="191">
        <f>SQRT((C50/B50)^2+(E50/D50)^2+(H50/G50)^2+(J50/I50)^2)*(B50*D50*G50*I50)*'[1]Conversion Factors'!$B$2*'[1]Conversion Factors'!$B$3</f>
        <v>22848.436304495517</v>
      </c>
      <c r="N50" s="192">
        <f>-1*L50*'[1]Conversion Factors'!$B$5/1000000</f>
        <v>-0.25994810313229344</v>
      </c>
      <c r="O50" s="193">
        <f>M50*-1*'[1]Conversion Factors'!$B$5/1000000</f>
        <v>-8.3777599783150233E-2</v>
      </c>
      <c r="P50" s="193">
        <f t="shared" si="2"/>
        <v>-0.42415219870726789</v>
      </c>
      <c r="Q50" s="193">
        <f t="shared" si="3"/>
        <v>-9.5744007557318989E-2</v>
      </c>
    </row>
    <row r="51" spans="1:17">
      <c r="A51" s="46" t="s">
        <v>248</v>
      </c>
      <c r="B51" s="183">
        <v>416.60822399999995</v>
      </c>
      <c r="C51" s="184">
        <v>35.041815390294346</v>
      </c>
      <c r="D51" s="185">
        <v>0.53</v>
      </c>
      <c r="E51" s="184">
        <v>5.000000000000001E-2</v>
      </c>
      <c r="F51" s="186">
        <f t="shared" si="0"/>
        <v>220.80235871999997</v>
      </c>
      <c r="G51" s="187">
        <v>0.21299999999999999</v>
      </c>
      <c r="H51" s="184">
        <v>1.7654859150262846E-2</v>
      </c>
      <c r="I51" s="188">
        <v>0.74</v>
      </c>
      <c r="J51" s="184">
        <v>0.19067257925024733</v>
      </c>
      <c r="K51" s="189">
        <f t="shared" si="1"/>
        <v>0.15761999999999998</v>
      </c>
      <c r="L51" s="190">
        <f>F51*'[1]Conversion Factors'!$B$3*K51*'[1]Conversion Factors'!$B$2</f>
        <v>34802.867781446388</v>
      </c>
      <c r="M51" s="191">
        <f>SQRT((C51/B51)^2+(E51/D51)^2+(H51/G51)^2+(J51/I51)^2)*(B51*D51*G51*I51)*'[1]Conversion Factors'!$B$2*'[1]Conversion Factors'!$B$3</f>
        <v>10396.485406141383</v>
      </c>
      <c r="N51" s="192">
        <f>-1*L51*'[1]Conversion Factors'!$B$5/1000000</f>
        <v>-0.12761051519863675</v>
      </c>
      <c r="O51" s="193">
        <f>M51*-1*'[1]Conversion Factors'!$B$5/1000000</f>
        <v>-3.8120446489185063E-2</v>
      </c>
      <c r="P51" s="193">
        <f t="shared" si="2"/>
        <v>-0.20232659031743949</v>
      </c>
      <c r="Q51" s="193">
        <f t="shared" si="3"/>
        <v>-5.2894440079834029E-2</v>
      </c>
    </row>
    <row r="52" spans="1:17">
      <c r="A52" s="46" t="s">
        <v>249</v>
      </c>
      <c r="B52" s="183">
        <v>7348.4649407999996</v>
      </c>
      <c r="C52" s="184">
        <v>594.21935694246986</v>
      </c>
      <c r="D52" s="185">
        <v>0.39799999999999996</v>
      </c>
      <c r="E52" s="184">
        <v>2.5000000000000012E-2</v>
      </c>
      <c r="F52" s="186">
        <f t="shared" si="0"/>
        <v>2924.6890464383996</v>
      </c>
      <c r="G52" s="187">
        <v>0.29299999999999998</v>
      </c>
      <c r="H52" s="184">
        <v>2.4285792164446075E-2</v>
      </c>
      <c r="I52" s="188">
        <v>0.74</v>
      </c>
      <c r="J52" s="184">
        <v>0.19067257925024733</v>
      </c>
      <c r="K52" s="189">
        <f t="shared" si="1"/>
        <v>0.21681999999999998</v>
      </c>
      <c r="L52" s="190">
        <f>F52*'[1]Conversion Factors'!$B$3*K52*'[1]Conversion Factors'!$B$2</f>
        <v>634131.07904877374</v>
      </c>
      <c r="M52" s="191">
        <f>SQRT((C52/B52)^2+(E52/D52)^2+(H52/G52)^2+(J52/I52)^2)*(B52*D52*G52*I52)*'[1]Conversion Factors'!$B$2*'[1]Conversion Factors'!$B$3</f>
        <v>183510.81445623894</v>
      </c>
      <c r="N52" s="192">
        <f>-1*L52*'[1]Conversion Factors'!$B$5/1000000</f>
        <v>-2.3251472898455035</v>
      </c>
      <c r="O52" s="193">
        <f>M52*-1*'[1]Conversion Factors'!$B$5/1000000</f>
        <v>-0.67287298633954273</v>
      </c>
      <c r="P52" s="193">
        <f t="shared" si="2"/>
        <v>-3.6439783430710069</v>
      </c>
      <c r="Q52" s="193">
        <f t="shared" si="3"/>
        <v>-1.0063162366199998</v>
      </c>
    </row>
    <row r="53" spans="1:17">
      <c r="A53" s="46" t="s">
        <v>250</v>
      </c>
      <c r="B53" s="183">
        <v>6520.4744831999997</v>
      </c>
      <c r="C53" s="184">
        <v>529.90492263787553</v>
      </c>
      <c r="D53" s="185">
        <v>0.34600000000000003</v>
      </c>
      <c r="E53" s="184">
        <v>2.7000000000000014E-2</v>
      </c>
      <c r="F53" s="186">
        <f t="shared" si="0"/>
        <v>2256.0841711871999</v>
      </c>
      <c r="G53" s="187">
        <v>0.25800000000000001</v>
      </c>
      <c r="H53" s="184">
        <v>2.1384758970740915E-2</v>
      </c>
      <c r="I53" s="188">
        <v>0.74</v>
      </c>
      <c r="J53" s="184">
        <v>0.19067257925024733</v>
      </c>
      <c r="K53" s="189">
        <f t="shared" si="1"/>
        <v>0.19092000000000001</v>
      </c>
      <c r="L53" s="190">
        <f>F53*'[1]Conversion Factors'!$B$3*K53*'[1]Conversion Factors'!$B$2</f>
        <v>430731.58996306028</v>
      </c>
      <c r="M53" s="191">
        <f>SQRT((C53/B53)^2+(E53/D53)^2+(H53/G53)^2+(J53/I53)^2)*(B53*D53*G53*I53)*'[1]Conversion Factors'!$B$2*'[1]Conversion Factors'!$B$3</f>
        <v>126282.73010038474</v>
      </c>
      <c r="N53" s="192">
        <f>-1*L53*'[1]Conversion Factors'!$B$5/1000000</f>
        <v>-1.5793491631978875</v>
      </c>
      <c r="O53" s="193">
        <f>M53*-1*'[1]Conversion Factors'!$B$5/1000000</f>
        <v>-0.46303667703474399</v>
      </c>
      <c r="P53" s="193">
        <f t="shared" si="2"/>
        <v>-2.4869010501859856</v>
      </c>
      <c r="Q53" s="193">
        <f t="shared" si="3"/>
        <v>-0.67179727620978935</v>
      </c>
    </row>
    <row r="54" spans="1:17">
      <c r="A54" s="46" t="s">
        <v>251</v>
      </c>
      <c r="B54" s="183">
        <v>1776.3832031999998</v>
      </c>
      <c r="C54" s="184">
        <v>142.59515628605078</v>
      </c>
      <c r="D54" s="185">
        <v>0.61</v>
      </c>
      <c r="E54" s="184">
        <v>4.9000000000000002E-2</v>
      </c>
      <c r="F54" s="186">
        <f t="shared" si="0"/>
        <v>1083.5937539519998</v>
      </c>
      <c r="G54" s="187">
        <v>0.24099999999999999</v>
      </c>
      <c r="H54" s="184">
        <v>1.9975685705226977E-2</v>
      </c>
      <c r="I54" s="188">
        <v>0.74</v>
      </c>
      <c r="J54" s="184">
        <v>0.19067257925024733</v>
      </c>
      <c r="K54" s="189">
        <f t="shared" si="1"/>
        <v>0.17834</v>
      </c>
      <c r="L54" s="190">
        <f>F54*'[1]Conversion Factors'!$B$3*K54*'[1]Conversion Factors'!$B$2</f>
        <v>193248.11007979966</v>
      </c>
      <c r="M54" s="191">
        <f>SQRT((C54/B54)^2+(E54/D54)^2+(H54/G54)^2+(J54/I54)^2)*(B54*D54*G54*I54)*'[1]Conversion Factors'!$B$2*'[1]Conversion Factors'!$B$3</f>
        <v>56723.526562343926</v>
      </c>
      <c r="N54" s="192">
        <f>-1*L54*'[1]Conversion Factors'!$B$5/1000000</f>
        <v>-0.70857640362593211</v>
      </c>
      <c r="O54" s="193">
        <f>M54*-1*'[1]Conversion Factors'!$B$5/1000000</f>
        <v>-0.20798626406192772</v>
      </c>
      <c r="P54" s="193">
        <f t="shared" si="2"/>
        <v>-1.1162294811873104</v>
      </c>
      <c r="Q54" s="193">
        <f t="shared" si="3"/>
        <v>-0.3009233260645538</v>
      </c>
    </row>
    <row r="55" spans="1:17">
      <c r="A55" s="46" t="s">
        <v>252</v>
      </c>
      <c r="B55" s="183">
        <v>5210.5969136000003</v>
      </c>
      <c r="C55" s="184">
        <v>418.4457198271748</v>
      </c>
      <c r="D55" s="185">
        <v>0.318</v>
      </c>
      <c r="E55" s="184">
        <v>2.6999999999999982E-2</v>
      </c>
      <c r="F55" s="186">
        <f t="shared" si="0"/>
        <v>1656.9698185248001</v>
      </c>
      <c r="G55" s="187">
        <v>0.22500000000000001</v>
      </c>
      <c r="H55" s="184">
        <v>1.8649499102390332E-2</v>
      </c>
      <c r="I55" s="188">
        <v>0.74</v>
      </c>
      <c r="J55" s="184">
        <v>0.19067257925024733</v>
      </c>
      <c r="K55" s="189">
        <f t="shared" si="1"/>
        <v>0.16650000000000001</v>
      </c>
      <c r="L55" s="190">
        <f>F55*'[1]Conversion Factors'!$B$3*K55*'[1]Conversion Factors'!$B$2</f>
        <v>275885.47478437924</v>
      </c>
      <c r="M55" s="191">
        <f>SQRT((C55/B55)^2+(E55/D55)^2+(H55/G55)^2+(J55/I55)^2)*(B55*D55*G55*I55)*'[1]Conversion Factors'!$B$2*'[1]Conversion Factors'!$B$3</f>
        <v>81337.0637298121</v>
      </c>
      <c r="N55" s="192">
        <f>-1*L55*'[1]Conversion Factors'!$B$5/1000000</f>
        <v>-1.0115800742093906</v>
      </c>
      <c r="O55" s="193">
        <f>M55*-1*'[1]Conversion Factors'!$B$5/1000000</f>
        <v>-0.29823590034264436</v>
      </c>
      <c r="P55" s="193">
        <f t="shared" si="2"/>
        <v>-1.5961224388809736</v>
      </c>
      <c r="Q55" s="193">
        <f t="shared" si="3"/>
        <v>-0.42703770953780762</v>
      </c>
    </row>
    <row r="56" spans="1:17">
      <c r="A56" s="46" t="s">
        <v>253</v>
      </c>
      <c r="B56" s="183">
        <v>543.38495839999996</v>
      </c>
      <c r="C56" s="184">
        <v>43.262913012418402</v>
      </c>
      <c r="D56" s="185">
        <v>0.19899999999999998</v>
      </c>
      <c r="E56" s="184">
        <v>2.9999999999999992E-2</v>
      </c>
      <c r="F56" s="186">
        <f t="shared" si="0"/>
        <v>108.13360672159999</v>
      </c>
      <c r="G56" s="187">
        <v>0.182</v>
      </c>
      <c r="H56" s="184">
        <v>1.5085372607266844E-2</v>
      </c>
      <c r="I56" s="188">
        <v>0.74</v>
      </c>
      <c r="J56" s="184">
        <v>0.19067257925024733</v>
      </c>
      <c r="K56" s="189">
        <f t="shared" si="1"/>
        <v>0.13467999999999999</v>
      </c>
      <c r="L56" s="190">
        <f>F56*'[1]Conversion Factors'!$B$3*K56*'[1]Conversion Factors'!$B$2</f>
        <v>14563.434153265087</v>
      </c>
      <c r="M56" s="191">
        <f>SQRT((C56/B56)^2+(E56/D56)^2+(H56/G56)^2+(J56/I56)^2)*(B56*D56*G56*I56)*'[1]Conversion Factors'!$B$2*'[1]Conversion Factors'!$B$3</f>
        <v>4658.647018709752</v>
      </c>
      <c r="N56" s="192">
        <f>-1*L56*'[1]Conversion Factors'!$B$5/1000000</f>
        <v>-5.3399258561971981E-2</v>
      </c>
      <c r="O56" s="193">
        <f>M56*-1*'[1]Conversion Factors'!$B$5/1000000</f>
        <v>-1.7081705735269091E-2</v>
      </c>
      <c r="P56" s="193">
        <f t="shared" si="2"/>
        <v>-8.6879401803099401E-2</v>
      </c>
      <c r="Q56" s="193">
        <f t="shared" si="3"/>
        <v>-1.991911532084456E-2</v>
      </c>
    </row>
    <row r="57" spans="1:17">
      <c r="A57" s="196" t="s">
        <v>254</v>
      </c>
      <c r="B57" s="197">
        <v>296059.59321439994</v>
      </c>
      <c r="C57" s="197"/>
      <c r="D57" s="198"/>
      <c r="E57" s="196"/>
      <c r="F57" s="197">
        <f>SUM(F6:F56)</f>
        <v>109506.12763699036</v>
      </c>
      <c r="G57" s="198"/>
      <c r="H57" s="196"/>
      <c r="I57" s="198"/>
      <c r="J57" s="198"/>
      <c r="K57" s="196"/>
      <c r="L57" s="197">
        <f>SUM(L6:L56)</f>
        <v>25324417.553329404</v>
      </c>
      <c r="M57" s="199">
        <f>SQRT(SUMSQ(M6:M56))</f>
        <v>1552935.9923061437</v>
      </c>
      <c r="N57" s="200">
        <f>SUM(N6:N56)</f>
        <v>-92.856197695541169</v>
      </c>
      <c r="O57" s="201">
        <f>SUM(O6:O56)</f>
        <v>-26.598533489649103</v>
      </c>
      <c r="P57" s="201">
        <f>SUM(P6:P56)</f>
        <v>-144.98932333525343</v>
      </c>
      <c r="Q57" s="201">
        <f>SUM(Q6:Q56)</f>
        <v>-40.723072055828908</v>
      </c>
    </row>
    <row r="60" spans="1:17" ht="43.5" customHeight="1">
      <c r="A60" s="202" t="s">
        <v>289</v>
      </c>
      <c r="B60" s="202" t="s">
        <v>187</v>
      </c>
      <c r="C60" s="202" t="s">
        <v>188</v>
      </c>
      <c r="D60" s="202" t="s">
        <v>189</v>
      </c>
      <c r="E60" s="241" t="s">
        <v>190</v>
      </c>
      <c r="F60" s="241"/>
      <c r="G60" s="202" t="s">
        <v>544</v>
      </c>
      <c r="H60" s="202" t="s">
        <v>257</v>
      </c>
      <c r="I60" s="202" t="s">
        <v>287</v>
      </c>
      <c r="J60" s="203" t="s">
        <v>300</v>
      </c>
    </row>
    <row r="61" spans="1:17">
      <c r="A61" s="89" t="s">
        <v>561</v>
      </c>
      <c r="B61" s="204">
        <v>1552935.9923061437</v>
      </c>
      <c r="C61" s="183">
        <v>-92.856197695541169</v>
      </c>
      <c r="D61" s="205">
        <v>26.5985334896491</v>
      </c>
      <c r="E61" s="205">
        <v>-144.98932333525343</v>
      </c>
      <c r="F61" s="205">
        <v>-40.723072055828908</v>
      </c>
      <c r="G61" s="188">
        <f>F61-E61</f>
        <v>104.26625127942452</v>
      </c>
      <c r="H61" s="205">
        <v>0</v>
      </c>
      <c r="I61" s="206" t="s">
        <v>258</v>
      </c>
    </row>
    <row r="62" spans="1:17">
      <c r="A62" s="89" t="s">
        <v>35</v>
      </c>
      <c r="B62" s="204">
        <v>1491799.4265751929</v>
      </c>
      <c r="C62" s="183">
        <v>-92.856197695541169</v>
      </c>
      <c r="D62" s="205">
        <v>25.526509531320801</v>
      </c>
      <c r="E62" s="205">
        <v>-142.88815637692994</v>
      </c>
      <c r="F62" s="205">
        <v>-42.824239014152433</v>
      </c>
      <c r="G62" s="188">
        <f t="shared" ref="G62:G65" si="4">F62-E62</f>
        <v>100.06391736277752</v>
      </c>
      <c r="H62" s="207">
        <f>$G$61-G62</f>
        <v>4.2023339166470066</v>
      </c>
      <c r="I62" s="185">
        <f>H62/$H$66</f>
        <v>6.1942578494897815E-2</v>
      </c>
      <c r="J62" s="88">
        <f>I62*$G$61</f>
        <v>6.4585204542444936</v>
      </c>
    </row>
    <row r="63" spans="1:17">
      <c r="A63" s="89" t="s">
        <v>36</v>
      </c>
      <c r="B63" s="204">
        <v>1527168.6968495261</v>
      </c>
      <c r="C63" s="183">
        <v>-92.856197695541169</v>
      </c>
      <c r="D63" s="205">
        <v>25.886574384208501</v>
      </c>
      <c r="E63" s="205">
        <v>-143.59388348858974</v>
      </c>
      <c r="F63" s="205">
        <v>-42.118511902492607</v>
      </c>
      <c r="G63" s="188">
        <f t="shared" si="4"/>
        <v>101.47537158609714</v>
      </c>
      <c r="H63" s="207">
        <f t="shared" ref="H63:H65" si="5">$G$61-G63</f>
        <v>2.7908796933273834</v>
      </c>
      <c r="I63" s="185">
        <f t="shared" ref="I63:I65" si="6">H63/$H$66</f>
        <v>4.1137683940090645E-2</v>
      </c>
      <c r="J63" s="88">
        <f t="shared" ref="J63:J65" si="7">I63*$G$61</f>
        <v>4.2892720907510382</v>
      </c>
    </row>
    <row r="64" spans="1:17">
      <c r="A64" s="89" t="s">
        <v>37</v>
      </c>
      <c r="B64" s="204">
        <v>1485301.6684771755</v>
      </c>
      <c r="C64" s="183">
        <v>-92.856197695541169</v>
      </c>
      <c r="D64" s="205">
        <v>25.435800664366901</v>
      </c>
      <c r="E64" s="205">
        <v>-142.71036699770039</v>
      </c>
      <c r="F64" s="205">
        <v>-43.002028393381948</v>
      </c>
      <c r="G64" s="188">
        <f t="shared" si="4"/>
        <v>99.708338604318442</v>
      </c>
      <c r="H64" s="207">
        <f t="shared" si="5"/>
        <v>4.5579126751060812</v>
      </c>
      <c r="I64" s="185">
        <f t="shared" si="6"/>
        <v>6.7183824334434386E-2</v>
      </c>
      <c r="J64" s="88">
        <f t="shared" si="7"/>
        <v>7.0050055099668516</v>
      </c>
    </row>
    <row r="65" spans="1:10">
      <c r="A65" s="89" t="s">
        <v>288</v>
      </c>
      <c r="B65" s="204">
        <v>686294.24043289572</v>
      </c>
      <c r="C65" s="183">
        <v>-92.856197695541169</v>
      </c>
      <c r="D65" s="205">
        <v>12.2385116810337</v>
      </c>
      <c r="E65" s="205">
        <v>-116.8436805903672</v>
      </c>
      <c r="F65" s="205">
        <v>-68.868714800715125</v>
      </c>
      <c r="G65" s="188">
        <f t="shared" si="4"/>
        <v>47.974965789652074</v>
      </c>
      <c r="H65" s="207">
        <f t="shared" si="5"/>
        <v>56.291285489772449</v>
      </c>
      <c r="I65" s="185">
        <f t="shared" si="6"/>
        <v>0.82973591323057716</v>
      </c>
      <c r="J65" s="88">
        <f t="shared" si="7"/>
        <v>86.51345322446214</v>
      </c>
    </row>
    <row r="66" spans="1:10">
      <c r="H66" s="208">
        <f>SUM(H62:H65)</f>
        <v>67.84241177485292</v>
      </c>
      <c r="I66" s="185">
        <f t="shared" ref="I66" si="8">H66/SUM($H$62:$H$65)</f>
        <v>1</v>
      </c>
    </row>
  </sheetData>
  <mergeCells count="2">
    <mergeCell ref="P3:Q3"/>
    <mergeCell ref="E60:F60"/>
  </mergeCells>
  <hyperlinks>
    <hyperlink ref="A1" location="'T-31 Urban Trees'!A1" display="Table T-31: Urban tree carbon stock change, uncertainty attribution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O25"/>
  <sheetViews>
    <sheetView zoomScaleNormal="100" zoomScalePageLayoutView="90" workbookViewId="0"/>
  </sheetViews>
  <sheetFormatPr defaultColWidth="8.81640625" defaultRowHeight="14"/>
  <cols>
    <col min="1" max="1" width="22.6328125" style="46" customWidth="1"/>
    <col min="2" max="2" width="19.1796875" style="46" customWidth="1"/>
    <col min="3" max="3" width="16.36328125" style="46" customWidth="1"/>
    <col min="4" max="4" width="16.453125" style="46" customWidth="1"/>
    <col min="5" max="5" width="17" style="46" customWidth="1"/>
    <col min="6" max="6" width="15.81640625" style="46" customWidth="1"/>
    <col min="7" max="7" width="8.81640625" style="46"/>
    <col min="8" max="8" width="10.36328125" style="46" customWidth="1"/>
    <col min="9" max="9" width="11.81640625" style="46" customWidth="1"/>
    <col min="10" max="10" width="10.453125" style="46" customWidth="1"/>
    <col min="11" max="11" width="10.1796875" style="46" customWidth="1"/>
    <col min="12" max="12" width="11.453125" style="46" customWidth="1"/>
    <col min="13" max="13" width="16.08984375" style="46" customWidth="1"/>
    <col min="14" max="16384" width="8.81640625" style="46"/>
  </cols>
  <sheetData>
    <row r="1" spans="1:15">
      <c r="A1" s="247" t="s">
        <v>585</v>
      </c>
    </row>
    <row r="2" spans="1:15">
      <c r="C2" s="242" t="s">
        <v>562</v>
      </c>
      <c r="D2" s="242"/>
      <c r="E2" s="242"/>
      <c r="F2" s="242"/>
    </row>
    <row r="3" spans="1:15" ht="56">
      <c r="A3" s="91" t="s">
        <v>268</v>
      </c>
      <c r="B3" s="92" t="s">
        <v>298</v>
      </c>
      <c r="C3" s="93" t="s">
        <v>563</v>
      </c>
      <c r="D3" s="93" t="s">
        <v>564</v>
      </c>
      <c r="E3" s="93" t="s">
        <v>297</v>
      </c>
      <c r="F3" s="93" t="s">
        <v>296</v>
      </c>
      <c r="G3" s="94"/>
      <c r="H3" s="92" t="s">
        <v>291</v>
      </c>
      <c r="I3" s="93" t="s">
        <v>566</v>
      </c>
      <c r="J3" s="93" t="s">
        <v>567</v>
      </c>
      <c r="K3" s="93" t="s">
        <v>294</v>
      </c>
      <c r="L3" s="93" t="s">
        <v>295</v>
      </c>
      <c r="M3" s="217" t="s">
        <v>565</v>
      </c>
      <c r="N3" s="94"/>
      <c r="O3" s="94"/>
    </row>
    <row r="4" spans="1:15">
      <c r="A4" s="97" t="s">
        <v>561</v>
      </c>
      <c r="B4" s="131">
        <v>2.9349949879060775</v>
      </c>
      <c r="C4" s="131">
        <v>0.98443324878630056</v>
      </c>
      <c r="D4" s="131">
        <v>4.885556727025854</v>
      </c>
      <c r="E4" s="131">
        <f>B4-C4</f>
        <v>1.9505617391197769</v>
      </c>
      <c r="F4" s="131">
        <f>D4-B4</f>
        <v>1.9505617391197765</v>
      </c>
      <c r="G4" s="131"/>
      <c r="H4" s="131">
        <f>B4*(44/12)</f>
        <v>10.761648288988951</v>
      </c>
      <c r="I4" s="131">
        <f t="shared" ref="I4:L4" si="0">C4*(44/12)</f>
        <v>3.6095885788831019</v>
      </c>
      <c r="J4" s="131">
        <f t="shared" si="0"/>
        <v>17.913707999094797</v>
      </c>
      <c r="K4" s="131">
        <f t="shared" si="0"/>
        <v>7.1520597101058483</v>
      </c>
      <c r="L4" s="131">
        <f t="shared" si="0"/>
        <v>7.1520597101058465</v>
      </c>
      <c r="M4" s="223">
        <f>J4-I4</f>
        <v>14.304119420211695</v>
      </c>
      <c r="N4" s="94"/>
      <c r="O4" s="94"/>
    </row>
    <row r="5" spans="1:15">
      <c r="A5" s="97" t="s">
        <v>29</v>
      </c>
      <c r="B5" s="131">
        <v>2.9391591680483495</v>
      </c>
      <c r="C5" s="131">
        <v>1.444799388218174</v>
      </c>
      <c r="D5" s="131">
        <v>4.4335189478785253</v>
      </c>
      <c r="E5" s="131">
        <f t="shared" ref="E5:E11" si="1">B5-C5</f>
        <v>1.4943597798301755</v>
      </c>
      <c r="F5" s="131">
        <f t="shared" ref="F5:F11" si="2">D5-B5</f>
        <v>1.4943597798301758</v>
      </c>
      <c r="G5" s="131"/>
      <c r="H5" s="131">
        <f t="shared" ref="H5:H11" si="3">B5*(44/12)</f>
        <v>10.776916949510614</v>
      </c>
      <c r="I5" s="131">
        <f t="shared" ref="I5:I11" si="4">C5*(44/12)</f>
        <v>5.2975977567999708</v>
      </c>
      <c r="J5" s="131">
        <f t="shared" ref="J5:J11" si="5">D5*(44/12)</f>
        <v>16.256236142221258</v>
      </c>
      <c r="K5" s="131">
        <f t="shared" ref="K5:K11" si="6">E5*(44/12)</f>
        <v>5.4793191927106433</v>
      </c>
      <c r="L5" s="131">
        <f t="shared" ref="L5:L11" si="7">F5*(44/12)</f>
        <v>5.4793191927106442</v>
      </c>
      <c r="M5" s="223">
        <f t="shared" ref="M5:M11" si="8">J5-I5</f>
        <v>10.958638385421288</v>
      </c>
      <c r="N5" s="94"/>
      <c r="O5" s="94"/>
    </row>
    <row r="6" spans="1:15">
      <c r="A6" s="97" t="s">
        <v>33</v>
      </c>
      <c r="B6" s="131">
        <v>2.8422954358714931</v>
      </c>
      <c r="C6" s="131">
        <v>1.1695392621772451</v>
      </c>
      <c r="D6" s="131">
        <v>4.5150516095657416</v>
      </c>
      <c r="E6" s="131">
        <f t="shared" si="1"/>
        <v>1.672756173694248</v>
      </c>
      <c r="F6" s="131">
        <f t="shared" si="2"/>
        <v>1.6727561736942484</v>
      </c>
      <c r="G6" s="131"/>
      <c r="H6" s="131">
        <f t="shared" si="3"/>
        <v>10.421749931528808</v>
      </c>
      <c r="I6" s="131">
        <f t="shared" si="4"/>
        <v>4.2883106279832317</v>
      </c>
      <c r="J6" s="131">
        <f t="shared" si="5"/>
        <v>16.555189235074383</v>
      </c>
      <c r="K6" s="131">
        <f t="shared" si="6"/>
        <v>6.1334393035455754</v>
      </c>
      <c r="L6" s="131">
        <f t="shared" si="7"/>
        <v>6.1334393035455772</v>
      </c>
      <c r="M6" s="223">
        <f t="shared" si="8"/>
        <v>12.266878607091151</v>
      </c>
      <c r="N6" s="94"/>
      <c r="O6" s="94"/>
    </row>
    <row r="7" spans="1:15">
      <c r="A7" s="97" t="s">
        <v>31</v>
      </c>
      <c r="B7" s="131">
        <v>2.947858115448077</v>
      </c>
      <c r="C7" s="131">
        <v>1.1249811644792682</v>
      </c>
      <c r="D7" s="131">
        <v>4.7707350664168864</v>
      </c>
      <c r="E7" s="131">
        <f t="shared" si="1"/>
        <v>1.8228769509688088</v>
      </c>
      <c r="F7" s="131">
        <f t="shared" si="2"/>
        <v>1.8228769509688094</v>
      </c>
      <c r="G7" s="131"/>
      <c r="H7" s="131">
        <f t="shared" si="3"/>
        <v>10.808813089976281</v>
      </c>
      <c r="I7" s="131">
        <f t="shared" si="4"/>
        <v>4.1249309364239837</v>
      </c>
      <c r="J7" s="131">
        <f t="shared" si="5"/>
        <v>17.492695243528583</v>
      </c>
      <c r="K7" s="131">
        <f t="shared" si="6"/>
        <v>6.6838821535522985</v>
      </c>
      <c r="L7" s="131">
        <f t="shared" si="7"/>
        <v>6.6838821535523012</v>
      </c>
      <c r="M7" s="223">
        <f t="shared" si="8"/>
        <v>13.367764307104601</v>
      </c>
      <c r="N7" s="94"/>
      <c r="O7" s="94"/>
    </row>
    <row r="8" spans="1:15">
      <c r="A8" s="97" t="s">
        <v>28</v>
      </c>
      <c r="B8" s="131">
        <v>2.9370880363963785</v>
      </c>
      <c r="C8" s="131">
        <v>1.10036388425822</v>
      </c>
      <c r="D8" s="131">
        <v>4.7738121885345368</v>
      </c>
      <c r="E8" s="131">
        <f t="shared" si="1"/>
        <v>1.8367241521381585</v>
      </c>
      <c r="F8" s="131">
        <f t="shared" si="2"/>
        <v>1.8367241521381583</v>
      </c>
      <c r="G8" s="131"/>
      <c r="H8" s="131">
        <f t="shared" si="3"/>
        <v>10.769322800120054</v>
      </c>
      <c r="I8" s="131">
        <f t="shared" si="4"/>
        <v>4.0346675756134731</v>
      </c>
      <c r="J8" s="131">
        <f t="shared" si="5"/>
        <v>17.503978024626633</v>
      </c>
      <c r="K8" s="131">
        <f t="shared" si="6"/>
        <v>6.7346552245065814</v>
      </c>
      <c r="L8" s="131">
        <f t="shared" si="7"/>
        <v>6.7346552245065805</v>
      </c>
      <c r="M8" s="223">
        <f t="shared" si="8"/>
        <v>13.469310449013161</v>
      </c>
      <c r="N8" s="94"/>
      <c r="O8" s="94"/>
    </row>
    <row r="9" spans="1:15">
      <c r="A9" s="97" t="s">
        <v>32</v>
      </c>
      <c r="B9" s="131">
        <v>2.9336500392866354</v>
      </c>
      <c r="C9" s="131">
        <v>1.0398926673312932</v>
      </c>
      <c r="D9" s="131">
        <v>4.8274074112419783</v>
      </c>
      <c r="E9" s="131">
        <f t="shared" si="1"/>
        <v>1.8937573719553422</v>
      </c>
      <c r="F9" s="131">
        <f t="shared" si="2"/>
        <v>1.8937573719553429</v>
      </c>
      <c r="G9" s="131"/>
      <c r="H9" s="131">
        <f t="shared" si="3"/>
        <v>10.756716810717663</v>
      </c>
      <c r="I9" s="131">
        <f t="shared" si="4"/>
        <v>3.8129397802147413</v>
      </c>
      <c r="J9" s="131">
        <f t="shared" si="5"/>
        <v>17.700493841220585</v>
      </c>
      <c r="K9" s="131">
        <f t="shared" si="6"/>
        <v>6.9437770305029209</v>
      </c>
      <c r="L9" s="131">
        <f t="shared" si="7"/>
        <v>6.9437770305029236</v>
      </c>
      <c r="M9" s="223">
        <f t="shared" si="8"/>
        <v>13.887554061005844</v>
      </c>
      <c r="N9" s="94"/>
      <c r="O9" s="94"/>
    </row>
    <row r="10" spans="1:15">
      <c r="A10" s="97" t="s">
        <v>30</v>
      </c>
      <c r="B10" s="131">
        <v>3.1083636383352027</v>
      </c>
      <c r="C10" s="131">
        <v>1.2025113066743842</v>
      </c>
      <c r="D10" s="131">
        <v>5.0142159699960214</v>
      </c>
      <c r="E10" s="131">
        <f t="shared" si="1"/>
        <v>1.9058523316608185</v>
      </c>
      <c r="F10" s="131">
        <f t="shared" si="2"/>
        <v>1.9058523316608187</v>
      </c>
      <c r="G10" s="131"/>
      <c r="H10" s="131">
        <f t="shared" si="3"/>
        <v>11.39733334056241</v>
      </c>
      <c r="I10" s="131">
        <f t="shared" si="4"/>
        <v>4.4092081244727419</v>
      </c>
      <c r="J10" s="131">
        <f t="shared" si="5"/>
        <v>18.385458556652079</v>
      </c>
      <c r="K10" s="131">
        <f t="shared" si="6"/>
        <v>6.9881252160896672</v>
      </c>
      <c r="L10" s="131">
        <f t="shared" si="7"/>
        <v>6.9881252160896681</v>
      </c>
      <c r="M10" s="223">
        <f t="shared" si="8"/>
        <v>13.976250432179338</v>
      </c>
      <c r="N10" s="94"/>
      <c r="O10" s="94"/>
    </row>
    <row r="11" spans="1:15">
      <c r="A11" s="97" t="s">
        <v>34</v>
      </c>
      <c r="B11" s="131">
        <v>3.0667986567548522</v>
      </c>
      <c r="C11" s="131">
        <v>1.0770716324978584</v>
      </c>
      <c r="D11" s="131">
        <v>5.0565256810118466</v>
      </c>
      <c r="E11" s="131">
        <f t="shared" si="1"/>
        <v>1.9897270242569938</v>
      </c>
      <c r="F11" s="131">
        <f t="shared" si="2"/>
        <v>1.9897270242569944</v>
      </c>
      <c r="G11" s="131"/>
      <c r="H11" s="131">
        <f t="shared" si="3"/>
        <v>11.244928408101124</v>
      </c>
      <c r="I11" s="131">
        <f t="shared" si="4"/>
        <v>3.9492626524921475</v>
      </c>
      <c r="J11" s="131">
        <f t="shared" si="5"/>
        <v>18.540594163710104</v>
      </c>
      <c r="K11" s="131">
        <f t="shared" si="6"/>
        <v>7.2956657556089768</v>
      </c>
      <c r="L11" s="131">
        <f t="shared" si="7"/>
        <v>7.2956657556089795</v>
      </c>
      <c r="M11" s="223">
        <f t="shared" si="8"/>
        <v>14.591331511217955</v>
      </c>
      <c r="N11" s="94"/>
      <c r="O11" s="94"/>
    </row>
    <row r="12" spans="1:15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</row>
    <row r="13" spans="1:15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</row>
    <row r="14" spans="1:15" ht="42.5">
      <c r="A14" s="93" t="s">
        <v>268</v>
      </c>
      <c r="B14" s="93" t="s">
        <v>533</v>
      </c>
      <c r="C14" s="50" t="s">
        <v>299</v>
      </c>
      <c r="D14" s="93" t="s">
        <v>269</v>
      </c>
      <c r="E14" s="50" t="s">
        <v>546</v>
      </c>
      <c r="F14" s="93" t="s">
        <v>270</v>
      </c>
      <c r="G14" s="212"/>
      <c r="H14" s="94"/>
      <c r="I14" s="94"/>
      <c r="J14" s="94"/>
      <c r="K14" s="94"/>
      <c r="L14" s="94"/>
      <c r="M14" s="94"/>
      <c r="N14" s="94"/>
      <c r="O14" s="94"/>
    </row>
    <row r="15" spans="1:15">
      <c r="A15" s="46" t="s">
        <v>561</v>
      </c>
      <c r="B15" s="208">
        <f t="shared" ref="B15:B22" si="9">J4-I4</f>
        <v>14.304119420211695</v>
      </c>
      <c r="C15" s="208"/>
      <c r="D15" s="55">
        <f>SUM(D16:D22)</f>
        <v>99.999999999999986</v>
      </c>
      <c r="E15" s="55">
        <f>SUM(E16:E22)</f>
        <v>100.00000000000001</v>
      </c>
      <c r="F15" s="55">
        <f>SUM(F16:F22)</f>
        <v>14.304119420211697</v>
      </c>
      <c r="G15" s="211"/>
    </row>
    <row r="16" spans="1:15">
      <c r="A16" s="46" t="s">
        <v>29</v>
      </c>
      <c r="B16" s="208">
        <f t="shared" si="9"/>
        <v>10.958638385421288</v>
      </c>
      <c r="C16" s="208">
        <f>$B$15-B16</f>
        <v>3.3454810347904065</v>
      </c>
      <c r="D16" s="216">
        <f>100*C16/$C$23</f>
        <v>43.955242153407895</v>
      </c>
      <c r="E16" s="55">
        <f t="shared" ref="E16:E22" si="10">100*ABS(D16)/$B$25</f>
        <v>40.870659150566333</v>
      </c>
      <c r="F16" s="55">
        <f>(E16/100)*$B$15</f>
        <v>5.8461878927246875</v>
      </c>
      <c r="G16" s="211"/>
    </row>
    <row r="17" spans="1:7">
      <c r="A17" s="46" t="s">
        <v>33</v>
      </c>
      <c r="B17" s="208">
        <f t="shared" si="9"/>
        <v>12.266878607091151</v>
      </c>
      <c r="C17" s="208">
        <f t="shared" ref="C17:C22" si="11">$B$15-B17</f>
        <v>2.0372408131205439</v>
      </c>
      <c r="D17" s="216">
        <f t="shared" ref="D17:D22" si="12">100*C17/$C$23</f>
        <v>26.766677896032142</v>
      </c>
      <c r="E17" s="55">
        <f t="shared" si="10"/>
        <v>24.888311730001718</v>
      </c>
      <c r="F17" s="55">
        <f t="shared" ref="F17:F22" si="13">(E17/100)*$B$15</f>
        <v>3.5600538315340007</v>
      </c>
      <c r="G17" s="211"/>
    </row>
    <row r="18" spans="1:7">
      <c r="A18" s="46" t="s">
        <v>31</v>
      </c>
      <c r="B18" s="208">
        <f t="shared" si="9"/>
        <v>13.367764307104601</v>
      </c>
      <c r="C18" s="208">
        <f t="shared" si="11"/>
        <v>0.93635511310709418</v>
      </c>
      <c r="D18" s="216">
        <f t="shared" si="12"/>
        <v>12.302480662779331</v>
      </c>
      <c r="E18" s="55">
        <f t="shared" si="10"/>
        <v>11.439147397255415</v>
      </c>
      <c r="F18" s="55">
        <f t="shared" si="13"/>
        <v>1.6362693043574523</v>
      </c>
      <c r="G18" s="211"/>
    </row>
    <row r="19" spans="1:7">
      <c r="A19" s="46" t="s">
        <v>28</v>
      </c>
      <c r="B19" s="208">
        <f t="shared" si="9"/>
        <v>13.469310449013161</v>
      </c>
      <c r="C19" s="208">
        <f t="shared" si="11"/>
        <v>0.83480897119853381</v>
      </c>
      <c r="D19" s="216">
        <f t="shared" si="12"/>
        <v>10.968297264063777</v>
      </c>
      <c r="E19" s="55">
        <f t="shared" si="10"/>
        <v>10.198591043523216</v>
      </c>
      <c r="F19" s="55">
        <f t="shared" si="13"/>
        <v>1.4588186420445748</v>
      </c>
      <c r="G19" s="211"/>
    </row>
    <row r="20" spans="1:7">
      <c r="A20" s="46" t="s">
        <v>32</v>
      </c>
      <c r="B20" s="208">
        <f t="shared" si="9"/>
        <v>13.887554061005844</v>
      </c>
      <c r="C20" s="208">
        <f t="shared" si="11"/>
        <v>0.41656535920585114</v>
      </c>
      <c r="D20" s="216">
        <f t="shared" si="12"/>
        <v>5.4731236094906333</v>
      </c>
      <c r="E20" s="55">
        <f t="shared" si="10"/>
        <v>5.089044186168044</v>
      </c>
      <c r="F20" s="55">
        <f t="shared" si="13"/>
        <v>0.72794295773681739</v>
      </c>
      <c r="G20" s="211"/>
    </row>
    <row r="21" spans="1:7">
      <c r="A21" s="46" t="s">
        <v>30</v>
      </c>
      <c r="B21" s="208">
        <f t="shared" si="9"/>
        <v>13.976250432179338</v>
      </c>
      <c r="C21" s="208">
        <f t="shared" si="11"/>
        <v>0.32786898803235687</v>
      </c>
      <c r="D21" s="216">
        <f t="shared" si="12"/>
        <v>4.3077693801537036</v>
      </c>
      <c r="E21" s="55">
        <f t="shared" si="10"/>
        <v>4.005469323113676</v>
      </c>
      <c r="F21" s="55">
        <f t="shared" si="13"/>
        <v>0.57294711531812526</v>
      </c>
      <c r="G21" s="211"/>
    </row>
    <row r="22" spans="1:7">
      <c r="A22" s="46" t="s">
        <v>34</v>
      </c>
      <c r="B22" s="208">
        <f t="shared" si="9"/>
        <v>14.591331511217955</v>
      </c>
      <c r="C22" s="208">
        <f t="shared" si="11"/>
        <v>-0.28721209100626055</v>
      </c>
      <c r="D22" s="216">
        <f t="shared" si="12"/>
        <v>-3.7735909659274838</v>
      </c>
      <c r="E22" s="55">
        <f t="shared" si="10"/>
        <v>3.5087771693716174</v>
      </c>
      <c r="F22" s="55">
        <f t="shared" si="13"/>
        <v>0.50189967649603973</v>
      </c>
      <c r="G22" s="88"/>
    </row>
    <row r="23" spans="1:7">
      <c r="C23" s="208">
        <f>SUM(C16:C22)</f>
        <v>7.6111081884485259</v>
      </c>
    </row>
    <row r="24" spans="1:7">
      <c r="E24" s="211"/>
    </row>
    <row r="25" spans="1:7">
      <c r="A25" s="46" t="s">
        <v>547</v>
      </c>
      <c r="B25" s="55">
        <f>SUM(D16:D21)+ABS(D22)</f>
        <v>107.54718193185495</v>
      </c>
    </row>
  </sheetData>
  <mergeCells count="1">
    <mergeCell ref="C2:F2"/>
  </mergeCells>
  <hyperlinks>
    <hyperlink ref="A1" location="'T-34 YT &amp; FS'!A1" display="Table T-34: Yard trimmings and food scraps carbon stock change, uncertainty attribution"/>
  </hyperlink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H16"/>
  <sheetViews>
    <sheetView zoomScaleNormal="100" zoomScalePageLayoutView="90" workbookViewId="0">
      <selection activeCell="A2" sqref="A2"/>
    </sheetView>
  </sheetViews>
  <sheetFormatPr defaultColWidth="8.81640625" defaultRowHeight="14"/>
  <cols>
    <col min="1" max="1" width="31.1796875" style="94" customWidth="1"/>
    <col min="2" max="8" width="15" style="94" customWidth="1"/>
    <col min="9" max="16384" width="8.81640625" style="94"/>
  </cols>
  <sheetData>
    <row r="1" spans="1:8">
      <c r="A1" s="247" t="s">
        <v>586</v>
      </c>
      <c r="B1" s="60"/>
      <c r="C1" s="60"/>
      <c r="D1" s="60"/>
      <c r="E1" s="60"/>
      <c r="F1" s="60"/>
      <c r="G1" s="60"/>
      <c r="H1" s="60"/>
    </row>
    <row r="2" spans="1:8">
      <c r="A2" s="60"/>
      <c r="B2" s="60"/>
      <c r="C2" s="60"/>
      <c r="D2" s="60"/>
      <c r="E2" s="60"/>
      <c r="F2" s="60"/>
      <c r="G2" s="60"/>
      <c r="H2" s="60"/>
    </row>
    <row r="3" spans="1:8">
      <c r="A3" s="60"/>
      <c r="B3" s="65"/>
      <c r="C3" s="65"/>
      <c r="D3" s="65"/>
      <c r="E3" s="65"/>
      <c r="F3" s="65"/>
      <c r="G3" s="65"/>
      <c r="H3" s="65"/>
    </row>
    <row r="4" spans="1:8" ht="42">
      <c r="A4" s="91" t="s">
        <v>118</v>
      </c>
      <c r="B4" s="92" t="s">
        <v>291</v>
      </c>
      <c r="C4" s="93" t="s">
        <v>292</v>
      </c>
      <c r="D4" s="93" t="s">
        <v>293</v>
      </c>
      <c r="E4" s="93" t="s">
        <v>294</v>
      </c>
      <c r="F4" s="93" t="s">
        <v>295</v>
      </c>
      <c r="G4" s="93" t="s">
        <v>262</v>
      </c>
      <c r="H4" s="93" t="s">
        <v>256</v>
      </c>
    </row>
    <row r="5" spans="1:8">
      <c r="A5" s="94" t="s">
        <v>439</v>
      </c>
      <c r="B5" s="95">
        <v>1.9</v>
      </c>
      <c r="C5" s="95">
        <v>1.4</v>
      </c>
      <c r="D5" s="95">
        <v>2.7</v>
      </c>
      <c r="E5" s="95">
        <f>B5-C5</f>
        <v>0.5</v>
      </c>
      <c r="F5" s="95">
        <f>D5-B5</f>
        <v>0.80000000000000027</v>
      </c>
      <c r="G5" s="95">
        <f>AVERAGE(E5:F5)/1.96</f>
        <v>0.33163265306122458</v>
      </c>
      <c r="H5" s="95">
        <f>G5^2</f>
        <v>0.10998021657642655</v>
      </c>
    </row>
    <row r="6" spans="1:8">
      <c r="A6" s="94" t="s">
        <v>440</v>
      </c>
      <c r="B6" s="95">
        <v>0.6</v>
      </c>
      <c r="C6" s="95">
        <v>0.4</v>
      </c>
      <c r="D6" s="95">
        <v>0.7</v>
      </c>
      <c r="E6" s="95">
        <f>B6-C6</f>
        <v>0.19999999999999996</v>
      </c>
      <c r="F6" s="95">
        <f>D6-B6</f>
        <v>9.9999999999999978E-2</v>
      </c>
      <c r="G6" s="95">
        <f>AVERAGE(E6:F6)/1.96</f>
        <v>7.6530612244897947E-2</v>
      </c>
      <c r="H6" s="95">
        <f>G6^2</f>
        <v>5.8569346105789236E-3</v>
      </c>
    </row>
    <row r="7" spans="1:8">
      <c r="B7" s="95">
        <f>SUM(B5:B6)</f>
        <v>2.5</v>
      </c>
      <c r="C7" s="95">
        <f>B7-F7</f>
        <v>1.832916796793683</v>
      </c>
      <c r="D7" s="95">
        <f>B7+F7</f>
        <v>3.167083203206317</v>
      </c>
      <c r="E7" s="95"/>
      <c r="F7" s="95">
        <f>G7*1.96</f>
        <v>0.66708320320631687</v>
      </c>
      <c r="G7" s="95">
        <f>H7^0.5</f>
        <v>0.34034857306444738</v>
      </c>
      <c r="H7" s="95">
        <f>SUM(H5:H6)</f>
        <v>0.11583715118700548</v>
      </c>
    </row>
    <row r="10" spans="1:8" ht="56.5">
      <c r="A10" s="93" t="s">
        <v>268</v>
      </c>
      <c r="B10" s="93" t="s">
        <v>533</v>
      </c>
      <c r="C10" s="217" t="s">
        <v>548</v>
      </c>
      <c r="D10" s="93" t="s">
        <v>269</v>
      </c>
      <c r="E10" s="93" t="s">
        <v>273</v>
      </c>
      <c r="F10" s="65"/>
      <c r="G10" s="65"/>
      <c r="H10" s="65"/>
    </row>
    <row r="11" spans="1:8">
      <c r="A11" s="97" t="s">
        <v>15</v>
      </c>
      <c r="B11" s="98">
        <f>D7-C7</f>
        <v>1.334166406412634</v>
      </c>
      <c r="D11" s="98"/>
      <c r="E11" s="98"/>
      <c r="F11" s="65"/>
      <c r="G11" s="65"/>
      <c r="H11" s="65"/>
    </row>
    <row r="12" spans="1:8" ht="14.5">
      <c r="A12" s="97" t="s">
        <v>534</v>
      </c>
      <c r="B12" s="98">
        <v>0.3</v>
      </c>
      <c r="C12" s="131">
        <f>B11-B12</f>
        <v>1.0341664064126339</v>
      </c>
      <c r="D12" s="98">
        <f>C12/C14</f>
        <v>0.96801894877469985</v>
      </c>
      <c r="E12" s="98">
        <f>D12*$B$11</f>
        <v>1.2914983622260769</v>
      </c>
      <c r="F12" s="65"/>
      <c r="G12" s="65"/>
      <c r="H12" s="65"/>
    </row>
    <row r="13" spans="1:8" ht="14.5">
      <c r="A13" s="97" t="s">
        <v>535</v>
      </c>
      <c r="B13" s="98">
        <v>1.3</v>
      </c>
      <c r="C13" s="131">
        <f>B11-B13</f>
        <v>3.416640641263391E-2</v>
      </c>
      <c r="D13" s="98">
        <f>C13/C14</f>
        <v>3.1981051225300171E-2</v>
      </c>
      <c r="E13" s="98">
        <f>D13*$B$11</f>
        <v>4.2668044186557091E-2</v>
      </c>
      <c r="F13" s="65"/>
      <c r="G13" s="65"/>
      <c r="H13" s="65"/>
    </row>
    <row r="14" spans="1:8">
      <c r="A14" s="97" t="s">
        <v>282</v>
      </c>
      <c r="B14" s="98"/>
      <c r="C14" s="98">
        <f>SUM(C12:C13)</f>
        <v>1.0683328128252678</v>
      </c>
      <c r="D14" s="98">
        <f>SUM(D12:D13)</f>
        <v>1</v>
      </c>
      <c r="E14" s="65"/>
      <c r="F14" s="65"/>
      <c r="G14" s="65"/>
      <c r="H14" s="65"/>
    </row>
    <row r="15" spans="1:8">
      <c r="A15" s="97"/>
      <c r="B15" s="98"/>
      <c r="C15" s="98"/>
      <c r="D15" s="98"/>
      <c r="E15" s="65"/>
      <c r="F15" s="65"/>
      <c r="G15" s="65"/>
      <c r="H15" s="65"/>
    </row>
    <row r="16" spans="1:8">
      <c r="A16" s="97"/>
      <c r="F16" s="65"/>
      <c r="G16" s="65"/>
      <c r="H16" s="65"/>
    </row>
  </sheetData>
  <hyperlinks>
    <hyperlink ref="A1" location="'T-35 N Settlement Soils'!A1" display="Table T-35: N additions to settlement soils, uncertainty attribution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W75"/>
  <sheetViews>
    <sheetView workbookViewId="0"/>
  </sheetViews>
  <sheetFormatPr defaultColWidth="10.81640625" defaultRowHeight="14"/>
  <cols>
    <col min="1" max="1" width="38.36328125" style="46" customWidth="1"/>
    <col min="2" max="2" width="35" style="46" customWidth="1"/>
    <col min="3" max="3" width="32" style="46" customWidth="1"/>
    <col min="4" max="15" width="10.81640625" style="46"/>
    <col min="16" max="16" width="27.1796875" style="46" customWidth="1"/>
    <col min="17" max="17" width="12.81640625" style="46" customWidth="1"/>
    <col min="18" max="19" width="10.81640625" style="46"/>
    <col min="20" max="20" width="29.453125" style="46" customWidth="1"/>
    <col min="21" max="16384" width="10.81640625" style="46"/>
  </cols>
  <sheetData>
    <row r="1" spans="1:5" ht="14.5" thickBot="1">
      <c r="A1" s="45" t="s">
        <v>587</v>
      </c>
    </row>
    <row r="3" spans="1:5" ht="14.5" thickBot="1">
      <c r="A3" s="45" t="s">
        <v>552</v>
      </c>
      <c r="B3" s="45"/>
      <c r="C3" s="45"/>
    </row>
    <row r="4" spans="1:5">
      <c r="A4" s="47" t="s">
        <v>497</v>
      </c>
      <c r="B4" s="46">
        <v>0.80128023241710911</v>
      </c>
    </row>
    <row r="5" spans="1:5">
      <c r="A5" s="47" t="s">
        <v>498</v>
      </c>
      <c r="B5" s="46">
        <v>2.5470636620501317</v>
      </c>
    </row>
    <row r="6" spans="1:5">
      <c r="A6" s="47" t="s">
        <v>499</v>
      </c>
      <c r="B6" s="46">
        <v>3.3483438944672517</v>
      </c>
    </row>
    <row r="7" spans="1:5">
      <c r="A7" s="47" t="s">
        <v>500</v>
      </c>
      <c r="B7" s="46">
        <v>-5.2795540991920467</v>
      </c>
      <c r="C7" s="46" t="s">
        <v>503</v>
      </c>
    </row>
    <row r="8" spans="1:5">
      <c r="A8" s="46" t="s">
        <v>491</v>
      </c>
      <c r="B8" s="48">
        <f>100*(0.5*(B10-B9))/B7</f>
        <v>-67.931914610668542</v>
      </c>
      <c r="C8" s="48" t="s">
        <v>504</v>
      </c>
      <c r="D8" s="48"/>
      <c r="E8" s="48"/>
    </row>
    <row r="9" spans="1:5">
      <c r="A9" s="47" t="s">
        <v>501</v>
      </c>
      <c r="B9" s="48">
        <v>-8.8660562816792385</v>
      </c>
      <c r="C9" s="48"/>
      <c r="D9" s="48"/>
      <c r="E9" s="48"/>
    </row>
    <row r="10" spans="1:5">
      <c r="A10" s="47" t="s">
        <v>502</v>
      </c>
      <c r="B10" s="48">
        <v>-1.6930519167048543</v>
      </c>
      <c r="C10" s="48"/>
      <c r="D10" s="48"/>
      <c r="E10" s="48"/>
    </row>
    <row r="11" spans="1:5">
      <c r="B11" s="48"/>
      <c r="C11" s="48"/>
      <c r="D11" s="48"/>
      <c r="E11" s="48"/>
    </row>
    <row r="12" spans="1:5">
      <c r="B12" s="48"/>
      <c r="C12" s="48"/>
      <c r="D12" s="48"/>
      <c r="E12" s="48"/>
    </row>
    <row r="13" spans="1:5">
      <c r="A13" s="48"/>
      <c r="B13" s="48"/>
      <c r="C13" s="48"/>
      <c r="D13" s="48"/>
      <c r="E13" s="48"/>
    </row>
    <row r="15" spans="1:5" ht="14.5" thickBot="1">
      <c r="A15" s="45" t="s">
        <v>553</v>
      </c>
      <c r="B15" s="45"/>
      <c r="C15" s="45"/>
      <c r="D15" s="49"/>
    </row>
    <row r="16" spans="1:5" ht="28">
      <c r="A16" s="50" t="s">
        <v>460</v>
      </c>
      <c r="B16" s="50" t="s">
        <v>462</v>
      </c>
      <c r="C16" s="50" t="s">
        <v>497</v>
      </c>
      <c r="D16" s="49" t="s">
        <v>556</v>
      </c>
    </row>
    <row r="17" spans="1:23">
      <c r="A17" s="46">
        <v>1</v>
      </c>
      <c r="B17" s="47" t="s">
        <v>461</v>
      </c>
      <c r="C17" s="46">
        <v>0.45572676196778816</v>
      </c>
      <c r="D17" s="220">
        <f>C17/$C$26</f>
        <v>0.56840086486975805</v>
      </c>
    </row>
    <row r="18" spans="1:23">
      <c r="A18" s="46">
        <v>2</v>
      </c>
      <c r="B18" s="47" t="s">
        <v>463</v>
      </c>
      <c r="C18" s="46">
        <v>0.31795602540888213</v>
      </c>
      <c r="D18" s="220">
        <f t="shared" ref="D18:D25" si="0">C18/$C$26</f>
        <v>0.39656762541791113</v>
      </c>
    </row>
    <row r="19" spans="1:23">
      <c r="A19" s="46">
        <v>3</v>
      </c>
      <c r="B19" s="47" t="s">
        <v>464</v>
      </c>
      <c r="C19" s="46">
        <v>1.4646026320332389E-3</v>
      </c>
      <c r="D19" s="220">
        <f t="shared" si="0"/>
        <v>1.8267116882573131E-3</v>
      </c>
    </row>
    <row r="20" spans="1:23">
      <c r="A20" s="46">
        <v>4</v>
      </c>
      <c r="B20" s="47" t="s">
        <v>465</v>
      </c>
      <c r="C20" s="46">
        <v>7.1630832050584954E-8</v>
      </c>
      <c r="D20" s="220">
        <f t="shared" si="0"/>
        <v>8.9340873274786324E-8</v>
      </c>
      <c r="T20" s="51"/>
      <c r="U20" s="51"/>
      <c r="V20" s="51"/>
      <c r="W20" s="51"/>
    </row>
    <row r="21" spans="1:23" ht="42">
      <c r="A21" s="46">
        <v>5</v>
      </c>
      <c r="B21" s="47" t="s">
        <v>466</v>
      </c>
      <c r="C21" s="46">
        <v>4.2058883507354377E-3</v>
      </c>
      <c r="D21" s="220">
        <f t="shared" si="0"/>
        <v>5.2457542010066081E-3</v>
      </c>
      <c r="T21" s="51"/>
      <c r="U21" s="51"/>
      <c r="V21" s="51"/>
      <c r="W21" s="51"/>
    </row>
    <row r="22" spans="1:23">
      <c r="A22" s="46">
        <v>6</v>
      </c>
      <c r="B22" s="47" t="s">
        <v>467</v>
      </c>
      <c r="C22" s="46">
        <v>1.2698102210447761E-2</v>
      </c>
      <c r="D22" s="220">
        <f t="shared" si="0"/>
        <v>1.5837587082790743E-2</v>
      </c>
      <c r="U22" s="51"/>
      <c r="V22" s="51"/>
      <c r="W22" s="51"/>
    </row>
    <row r="23" spans="1:23">
      <c r="A23" s="46">
        <v>7</v>
      </c>
      <c r="B23" s="47" t="s">
        <v>468</v>
      </c>
      <c r="C23" s="46">
        <v>9.1105271031255777E-3</v>
      </c>
      <c r="D23" s="220">
        <f t="shared" si="0"/>
        <v>1.1363018187643703E-2</v>
      </c>
      <c r="U23" s="51"/>
      <c r="V23" s="51"/>
      <c r="W23" s="51"/>
    </row>
    <row r="24" spans="1:23">
      <c r="A24" s="46">
        <v>8</v>
      </c>
      <c r="B24" s="47" t="s">
        <v>469</v>
      </c>
      <c r="C24" s="46">
        <v>1.2726973225391999E-4</v>
      </c>
      <c r="D24" s="220">
        <f t="shared" si="0"/>
        <v>1.587359618129774E-4</v>
      </c>
      <c r="U24" s="51"/>
      <c r="V24" s="51"/>
    </row>
    <row r="25" spans="1:23">
      <c r="A25" s="46">
        <v>9</v>
      </c>
      <c r="B25" s="47" t="s">
        <v>470</v>
      </c>
      <c r="C25" s="46">
        <v>4.8075191598033869E-4</v>
      </c>
      <c r="D25" s="220">
        <f t="shared" si="0"/>
        <v>5.9961324994631856E-4</v>
      </c>
    </row>
    <row r="26" spans="1:23">
      <c r="B26" s="46" t="s">
        <v>15</v>
      </c>
      <c r="C26" s="46">
        <f>SUM(C17:C25)</f>
        <v>0.80177000095207851</v>
      </c>
      <c r="O26" s="50"/>
    </row>
    <row r="29" spans="1:23" ht="14.5" thickBot="1">
      <c r="A29" s="45" t="s">
        <v>483</v>
      </c>
      <c r="B29" s="52"/>
      <c r="C29" s="52"/>
    </row>
    <row r="31" spans="1:23" s="47" customFormat="1" ht="28">
      <c r="A31" s="50" t="s">
        <v>471</v>
      </c>
      <c r="B31" s="50" t="s">
        <v>505</v>
      </c>
      <c r="C31" s="50" t="s">
        <v>482</v>
      </c>
    </row>
    <row r="32" spans="1:23">
      <c r="A32" s="47" t="s">
        <v>472</v>
      </c>
      <c r="B32" s="46">
        <f>C17</f>
        <v>0.45572676196778816</v>
      </c>
      <c r="C32" s="46">
        <f>100*B32/$B$6</f>
        <v>13.610512430363666</v>
      </c>
    </row>
    <row r="33" spans="1:3" ht="28">
      <c r="A33" s="47" t="s">
        <v>473</v>
      </c>
      <c r="B33" s="46">
        <f t="shared" ref="B33:B40" si="1">C18</f>
        <v>0.31795602540888213</v>
      </c>
      <c r="C33" s="46">
        <f t="shared" ref="C33:C41" si="2">100*B33/$B$6</f>
        <v>9.4959190402833897</v>
      </c>
    </row>
    <row r="34" spans="1:3" ht="28">
      <c r="A34" s="47" t="s">
        <v>474</v>
      </c>
      <c r="B34" s="46">
        <f t="shared" si="1"/>
        <v>1.4646026320332389E-3</v>
      </c>
      <c r="C34" s="46">
        <f t="shared" si="2"/>
        <v>4.3741105399995629E-2</v>
      </c>
    </row>
    <row r="35" spans="1:3" ht="28">
      <c r="A35" s="47" t="s">
        <v>475</v>
      </c>
      <c r="B35" s="46">
        <f t="shared" si="1"/>
        <v>7.1630832050584954E-8</v>
      </c>
      <c r="C35" s="46">
        <f t="shared" si="2"/>
        <v>2.1392913723392202E-6</v>
      </c>
    </row>
    <row r="36" spans="1:3" ht="42">
      <c r="A36" s="47" t="s">
        <v>476</v>
      </c>
      <c r="B36" s="46">
        <f t="shared" si="1"/>
        <v>4.2058883507354377E-3</v>
      </c>
      <c r="C36" s="46">
        <f t="shared" si="2"/>
        <v>0.12561100303004055</v>
      </c>
    </row>
    <row r="37" spans="1:3" ht="28">
      <c r="A37" s="47" t="s">
        <v>477</v>
      </c>
      <c r="B37" s="46">
        <f t="shared" si="1"/>
        <v>1.2698102210447761E-2</v>
      </c>
      <c r="C37" s="46">
        <f t="shared" si="2"/>
        <v>0.37923530589047011</v>
      </c>
    </row>
    <row r="38" spans="1:3" ht="28">
      <c r="A38" s="47" t="s">
        <v>478</v>
      </c>
      <c r="B38" s="46">
        <f t="shared" si="1"/>
        <v>9.1105271031255777E-3</v>
      </c>
      <c r="C38" s="46">
        <f t="shared" si="2"/>
        <v>0.27209054357229145</v>
      </c>
    </row>
    <row r="39" spans="1:3" ht="28">
      <c r="A39" s="47" t="s">
        <v>479</v>
      </c>
      <c r="B39" s="46">
        <f t="shared" si="1"/>
        <v>1.2726973225391999E-4</v>
      </c>
      <c r="C39" s="46">
        <f t="shared" si="2"/>
        <v>3.8009755349269351E-3</v>
      </c>
    </row>
    <row r="40" spans="1:3" ht="28">
      <c r="A40" s="47" t="s">
        <v>480</v>
      </c>
      <c r="B40" s="46">
        <f t="shared" si="1"/>
        <v>4.8075191598033869E-4</v>
      </c>
      <c r="C40" s="46">
        <f t="shared" si="2"/>
        <v>1.4357901432249095E-2</v>
      </c>
    </row>
    <row r="41" spans="1:3">
      <c r="A41" s="47" t="s">
        <v>481</v>
      </c>
      <c r="B41" s="46">
        <f>B5</f>
        <v>2.5470636620501317</v>
      </c>
      <c r="C41" s="46">
        <f t="shared" si="2"/>
        <v>76.069356742563329</v>
      </c>
    </row>
    <row r="45" spans="1:3" ht="14.5" thickBot="1">
      <c r="A45" s="53" t="s">
        <v>492</v>
      </c>
      <c r="B45" s="53"/>
      <c r="C45" s="54"/>
    </row>
    <row r="47" spans="1:3">
      <c r="A47" s="49" t="s">
        <v>554</v>
      </c>
    </row>
    <row r="48" spans="1:3">
      <c r="A48" s="46" t="s">
        <v>490</v>
      </c>
    </row>
    <row r="49" spans="1:3">
      <c r="A49" s="46" t="s">
        <v>485</v>
      </c>
      <c r="B49" s="46">
        <v>-315.3</v>
      </c>
    </row>
    <row r="50" spans="1:3">
      <c r="A50" s="46" t="s">
        <v>486</v>
      </c>
      <c r="B50" s="46">
        <v>-65.7</v>
      </c>
    </row>
    <row r="51" spans="1:3">
      <c r="A51" s="46" t="s">
        <v>487</v>
      </c>
      <c r="B51" s="46">
        <v>-39.200000000000003</v>
      </c>
    </row>
    <row r="52" spans="1:3">
      <c r="A52" s="46" t="s">
        <v>496</v>
      </c>
      <c r="B52" s="46">
        <f>SUM(B49:B51)</f>
        <v>-420.2</v>
      </c>
    </row>
    <row r="54" spans="1:3">
      <c r="A54" s="49" t="s">
        <v>493</v>
      </c>
    </row>
    <row r="55" spans="1:3">
      <c r="A55" s="46" t="s">
        <v>495</v>
      </c>
      <c r="B55" s="46">
        <f>ABS((B8/100)*B52)</f>
        <v>285.44990519402921</v>
      </c>
    </row>
    <row r="56" spans="1:3">
      <c r="A56" s="46" t="s">
        <v>488</v>
      </c>
      <c r="B56" s="46">
        <f>B52-B55</f>
        <v>-705.6499051940292</v>
      </c>
    </row>
    <row r="57" spans="1:3">
      <c r="A57" s="46" t="s">
        <v>489</v>
      </c>
      <c r="B57" s="46">
        <f>B52+B55</f>
        <v>-134.75009480597078</v>
      </c>
    </row>
    <row r="58" spans="1:3">
      <c r="A58" s="46" t="s">
        <v>494</v>
      </c>
      <c r="B58" s="46">
        <f>B57-B56</f>
        <v>570.89981038805843</v>
      </c>
    </row>
    <row r="62" spans="1:3" ht="14.5" thickBot="1">
      <c r="A62" s="45" t="s">
        <v>484</v>
      </c>
      <c r="B62" s="52"/>
      <c r="C62" s="52"/>
    </row>
    <row r="64" spans="1:3" ht="28">
      <c r="A64" s="50" t="s">
        <v>471</v>
      </c>
      <c r="B64" s="50" t="s">
        <v>482</v>
      </c>
      <c r="C64" s="49" t="s">
        <v>273</v>
      </c>
    </row>
    <row r="65" spans="1:4">
      <c r="A65" s="47" t="s">
        <v>472</v>
      </c>
      <c r="B65" s="55">
        <f>C32</f>
        <v>13.610512430363666</v>
      </c>
      <c r="C65" s="55">
        <f>ROUND((B65/100)*$B$58,1)</f>
        <v>77.7</v>
      </c>
    </row>
    <row r="66" spans="1:4" ht="28">
      <c r="A66" s="47" t="s">
        <v>473</v>
      </c>
      <c r="B66" s="55">
        <f t="shared" ref="B66:B74" si="3">C33</f>
        <v>9.4959190402833897</v>
      </c>
      <c r="C66" s="55">
        <f t="shared" ref="C66:C74" si="4">ROUND((B66/100)*$B$58,1)</f>
        <v>54.2</v>
      </c>
    </row>
    <row r="67" spans="1:4" ht="28">
      <c r="A67" s="47" t="s">
        <v>474</v>
      </c>
      <c r="B67" s="55">
        <f t="shared" si="3"/>
        <v>4.3741105399995629E-2</v>
      </c>
      <c r="C67" s="55">
        <f t="shared" si="4"/>
        <v>0.2</v>
      </c>
    </row>
    <row r="68" spans="1:4" ht="28">
      <c r="A68" s="47" t="s">
        <v>475</v>
      </c>
      <c r="B68" s="55">
        <f t="shared" si="3"/>
        <v>2.1392913723392202E-6</v>
      </c>
      <c r="C68" s="55">
        <f t="shared" si="4"/>
        <v>0</v>
      </c>
    </row>
    <row r="69" spans="1:4" ht="42">
      <c r="A69" s="47" t="s">
        <v>476</v>
      </c>
      <c r="B69" s="55">
        <f t="shared" si="3"/>
        <v>0.12561100303004055</v>
      </c>
      <c r="C69" s="55">
        <f t="shared" si="4"/>
        <v>0.7</v>
      </c>
    </row>
    <row r="70" spans="1:4" ht="28">
      <c r="A70" s="47" t="s">
        <v>477</v>
      </c>
      <c r="B70" s="55">
        <f t="shared" si="3"/>
        <v>0.37923530589047011</v>
      </c>
      <c r="C70" s="55">
        <f t="shared" si="4"/>
        <v>2.2000000000000002</v>
      </c>
    </row>
    <row r="71" spans="1:4" ht="28">
      <c r="A71" s="47" t="s">
        <v>478</v>
      </c>
      <c r="B71" s="55">
        <f t="shared" si="3"/>
        <v>0.27209054357229145</v>
      </c>
      <c r="C71" s="55">
        <f t="shared" si="4"/>
        <v>1.6</v>
      </c>
    </row>
    <row r="72" spans="1:4" ht="28">
      <c r="A72" s="47" t="s">
        <v>479</v>
      </c>
      <c r="B72" s="55">
        <f t="shared" si="3"/>
        <v>3.8009755349269351E-3</v>
      </c>
      <c r="C72" s="55">
        <f t="shared" si="4"/>
        <v>0</v>
      </c>
    </row>
    <row r="73" spans="1:4" ht="28">
      <c r="A73" s="47" t="s">
        <v>480</v>
      </c>
      <c r="B73" s="55">
        <f t="shared" si="3"/>
        <v>1.4357901432249095E-2</v>
      </c>
      <c r="C73" s="55">
        <f t="shared" si="4"/>
        <v>0.1</v>
      </c>
    </row>
    <row r="74" spans="1:4">
      <c r="A74" s="47" t="s">
        <v>481</v>
      </c>
      <c r="B74" s="55">
        <f t="shared" si="3"/>
        <v>76.069356742563329</v>
      </c>
      <c r="C74" s="55">
        <f t="shared" si="4"/>
        <v>434.3</v>
      </c>
      <c r="D74" s="55"/>
    </row>
    <row r="75" spans="1:4">
      <c r="C75" s="55"/>
    </row>
  </sheetData>
  <hyperlinks>
    <hyperlink ref="A1" location="'T-2 Forest biomass and deadwood'!A1" display="Table T-2: Forest biomass and deadwood carbon stock change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16"/>
  <sheetViews>
    <sheetView zoomScaleNormal="100" zoomScalePageLayoutView="90" workbookViewId="0">
      <selection activeCell="A2" sqref="A2"/>
    </sheetView>
  </sheetViews>
  <sheetFormatPr defaultColWidth="8.81640625" defaultRowHeight="14"/>
  <cols>
    <col min="1" max="1" width="31.1796875" style="46" customWidth="1"/>
    <col min="2" max="8" width="15" style="46" customWidth="1"/>
    <col min="9" max="16384" width="8.81640625" style="46"/>
  </cols>
  <sheetData>
    <row r="1" spans="1:9">
      <c r="A1" s="247" t="s">
        <v>588</v>
      </c>
      <c r="B1" s="60"/>
      <c r="C1" s="60"/>
      <c r="D1" s="60"/>
      <c r="E1" s="60"/>
      <c r="F1" s="60"/>
      <c r="G1" s="60"/>
      <c r="H1" s="60"/>
      <c r="I1" s="94"/>
    </row>
    <row r="2" spans="1:9">
      <c r="A2" s="60"/>
      <c r="B2" s="60"/>
      <c r="C2" s="60"/>
      <c r="D2" s="60"/>
      <c r="E2" s="60"/>
      <c r="F2" s="60"/>
      <c r="G2" s="60"/>
      <c r="H2" s="60"/>
      <c r="I2" s="94"/>
    </row>
    <row r="3" spans="1:9">
      <c r="A3" s="60"/>
      <c r="B3" s="65"/>
      <c r="C3" s="65"/>
      <c r="D3" s="65"/>
      <c r="E3" s="65"/>
      <c r="F3" s="65"/>
      <c r="G3" s="65"/>
      <c r="H3" s="65"/>
      <c r="I3" s="94"/>
    </row>
    <row r="4" spans="1:9" ht="42">
      <c r="A4" s="91" t="s">
        <v>118</v>
      </c>
      <c r="B4" s="92" t="s">
        <v>291</v>
      </c>
      <c r="C4" s="93" t="s">
        <v>292</v>
      </c>
      <c r="D4" s="93" t="s">
        <v>293</v>
      </c>
      <c r="E4" s="93" t="s">
        <v>294</v>
      </c>
      <c r="F4" s="93" t="s">
        <v>295</v>
      </c>
      <c r="G4" s="93" t="s">
        <v>262</v>
      </c>
      <c r="H4" s="93" t="s">
        <v>256</v>
      </c>
      <c r="I4" s="94"/>
    </row>
    <row r="5" spans="1:9">
      <c r="A5" s="94" t="s">
        <v>290</v>
      </c>
      <c r="B5" s="95">
        <v>1.3</v>
      </c>
      <c r="C5" s="95">
        <v>0.8</v>
      </c>
      <c r="D5" s="95">
        <v>1.8</v>
      </c>
      <c r="E5" s="95">
        <f>B5-C5</f>
        <v>0.5</v>
      </c>
      <c r="F5" s="95">
        <f>D5-B5</f>
        <v>0.5</v>
      </c>
      <c r="G5" s="95">
        <f>AVERAGE(E5:F5)/2</f>
        <v>0.25</v>
      </c>
      <c r="H5" s="95">
        <f>G5^2</f>
        <v>6.25E-2</v>
      </c>
      <c r="I5" s="94"/>
    </row>
    <row r="6" spans="1:9">
      <c r="A6" s="94"/>
      <c r="B6" s="94"/>
      <c r="C6" s="94"/>
      <c r="D6" s="94"/>
      <c r="E6" s="94"/>
      <c r="F6" s="94"/>
      <c r="G6" s="94"/>
      <c r="H6" s="94"/>
      <c r="I6" s="94"/>
    </row>
    <row r="7" spans="1:9">
      <c r="A7" s="94"/>
      <c r="B7" s="94"/>
      <c r="C7" s="94"/>
      <c r="D7" s="94"/>
      <c r="E7" s="94"/>
      <c r="F7" s="94"/>
      <c r="G7" s="94"/>
      <c r="H7" s="94"/>
      <c r="I7" s="94"/>
    </row>
    <row r="8" spans="1:9">
      <c r="A8" s="94"/>
      <c r="B8" s="94"/>
      <c r="C8" s="94"/>
      <c r="D8" s="94"/>
      <c r="E8" s="94"/>
      <c r="F8" s="94"/>
      <c r="G8" s="94"/>
      <c r="H8" s="94"/>
      <c r="I8" s="94"/>
    </row>
    <row r="9" spans="1:9">
      <c r="A9" s="94"/>
      <c r="B9" s="94"/>
      <c r="C9" s="94"/>
      <c r="D9" s="94"/>
      <c r="E9" s="94"/>
      <c r="F9" s="94"/>
      <c r="G9" s="94"/>
      <c r="H9" s="94"/>
      <c r="I9" s="94"/>
    </row>
    <row r="10" spans="1:9" ht="56.5">
      <c r="A10" s="93" t="s">
        <v>268</v>
      </c>
      <c r="B10" s="93" t="s">
        <v>533</v>
      </c>
      <c r="C10" s="93" t="s">
        <v>269</v>
      </c>
      <c r="D10" s="93" t="s">
        <v>273</v>
      </c>
      <c r="E10" s="65"/>
      <c r="F10" s="65"/>
      <c r="G10" s="65"/>
      <c r="H10" s="65"/>
      <c r="I10" s="94"/>
    </row>
    <row r="11" spans="1:9">
      <c r="A11" s="97" t="s">
        <v>278</v>
      </c>
      <c r="B11" s="98">
        <v>1</v>
      </c>
      <c r="C11" s="98" t="s">
        <v>279</v>
      </c>
      <c r="D11" s="98" t="s">
        <v>279</v>
      </c>
      <c r="E11" s="65"/>
      <c r="F11" s="65"/>
      <c r="G11" s="65"/>
      <c r="H11" s="65"/>
      <c r="I11" s="94"/>
    </row>
    <row r="12" spans="1:9">
      <c r="A12" s="89"/>
      <c r="B12" s="90"/>
      <c r="C12" s="90"/>
      <c r="D12" s="90"/>
      <c r="E12" s="57"/>
      <c r="F12" s="57"/>
      <c r="G12" s="57"/>
      <c r="H12" s="57"/>
    </row>
    <row r="13" spans="1:9">
      <c r="A13" s="89"/>
      <c r="B13" s="90"/>
      <c r="C13" s="90"/>
      <c r="D13" s="90"/>
      <c r="E13" s="57"/>
      <c r="F13" s="57"/>
      <c r="G13" s="57"/>
      <c r="H13" s="57"/>
    </row>
    <row r="14" spans="1:9">
      <c r="A14" s="89"/>
      <c r="B14" s="90"/>
      <c r="C14" s="90"/>
      <c r="D14" s="90"/>
      <c r="E14" s="57"/>
      <c r="F14" s="57"/>
      <c r="G14" s="57"/>
      <c r="H14" s="57"/>
    </row>
    <row r="15" spans="1:9">
      <c r="A15" s="89"/>
      <c r="B15" s="90"/>
      <c r="C15" s="90"/>
      <c r="D15" s="90"/>
      <c r="E15" s="57"/>
      <c r="F15" s="57"/>
      <c r="G15" s="57"/>
      <c r="H15" s="57"/>
    </row>
    <row r="16" spans="1:9">
      <c r="A16" s="89"/>
      <c r="B16" s="90"/>
      <c r="C16" s="90"/>
      <c r="D16" s="90"/>
      <c r="E16" s="57"/>
      <c r="F16" s="57"/>
      <c r="G16" s="57"/>
      <c r="H16" s="57"/>
    </row>
  </sheetData>
  <hyperlinks>
    <hyperlink ref="A1" location="'T-36 Drained Organic Set'!A1" display="Table T-36: Drained organic settlement soils, uncertainty attribution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17"/>
  <sheetViews>
    <sheetView zoomScaleNormal="100" zoomScalePageLayoutView="90" workbookViewId="0">
      <selection activeCell="A2" sqref="A2"/>
    </sheetView>
  </sheetViews>
  <sheetFormatPr defaultColWidth="8.81640625" defaultRowHeight="14"/>
  <cols>
    <col min="1" max="1" width="69.1796875" style="46" customWidth="1"/>
    <col min="2" max="2" width="16.1796875" style="46" customWidth="1"/>
    <col min="3" max="3" width="13.81640625" style="46" customWidth="1"/>
    <col min="4" max="4" width="46" style="46" customWidth="1"/>
    <col min="5" max="16384" width="8.81640625" style="46"/>
  </cols>
  <sheetData>
    <row r="1" spans="1:5">
      <c r="A1" s="247" t="s">
        <v>594</v>
      </c>
      <c r="B1" s="94"/>
      <c r="C1" s="94"/>
      <c r="D1" s="94"/>
      <c r="E1" s="94"/>
    </row>
    <row r="2" spans="1:5">
      <c r="A2" s="94"/>
      <c r="B2" s="94"/>
      <c r="C2" s="94"/>
      <c r="D2" s="94"/>
      <c r="E2" s="94"/>
    </row>
    <row r="3" spans="1:5">
      <c r="A3" s="94"/>
      <c r="B3" s="94"/>
      <c r="C3" s="94"/>
      <c r="D3" s="94"/>
      <c r="E3" s="94"/>
    </row>
    <row r="4" spans="1:5">
      <c r="A4" s="91" t="s">
        <v>118</v>
      </c>
      <c r="B4" s="91" t="s">
        <v>119</v>
      </c>
      <c r="C4" s="91" t="s">
        <v>120</v>
      </c>
      <c r="D4" s="91" t="s">
        <v>177</v>
      </c>
      <c r="E4" s="94"/>
    </row>
    <row r="5" spans="1:5">
      <c r="A5" s="94" t="s">
        <v>165</v>
      </c>
      <c r="B5" s="94" t="s">
        <v>166</v>
      </c>
      <c r="C5" s="94">
        <v>45</v>
      </c>
      <c r="D5" s="94" t="s">
        <v>167</v>
      </c>
      <c r="E5" s="94"/>
    </row>
    <row r="6" spans="1:5">
      <c r="A6" s="94" t="s">
        <v>168</v>
      </c>
      <c r="B6" s="94" t="s">
        <v>169</v>
      </c>
      <c r="C6" s="94">
        <v>1</v>
      </c>
      <c r="D6" s="94"/>
      <c r="E6" s="94"/>
    </row>
    <row r="7" spans="1:5">
      <c r="A7" s="94" t="s">
        <v>170</v>
      </c>
      <c r="B7" s="94" t="s">
        <v>169</v>
      </c>
      <c r="C7" s="94">
        <v>0.9</v>
      </c>
      <c r="D7" s="94" t="s">
        <v>171</v>
      </c>
      <c r="E7" s="94"/>
    </row>
    <row r="8" spans="1:5">
      <c r="A8" s="94" t="s">
        <v>172</v>
      </c>
      <c r="B8" s="94" t="s">
        <v>169</v>
      </c>
      <c r="C8" s="94">
        <v>1</v>
      </c>
      <c r="D8" s="94"/>
      <c r="E8" s="94"/>
    </row>
    <row r="9" spans="1:5">
      <c r="A9" s="94" t="s">
        <v>173</v>
      </c>
      <c r="B9" s="94" t="s">
        <v>86</v>
      </c>
      <c r="C9" s="94">
        <v>20</v>
      </c>
      <c r="D9" s="94" t="s">
        <v>174</v>
      </c>
      <c r="E9" s="94"/>
    </row>
    <row r="10" spans="1:5">
      <c r="A10" s="94" t="s">
        <v>175</v>
      </c>
      <c r="B10" s="94" t="s">
        <v>47</v>
      </c>
      <c r="C10" s="213">
        <v>42000000</v>
      </c>
      <c r="D10" s="94" t="s">
        <v>176</v>
      </c>
      <c r="E10" s="94"/>
    </row>
    <row r="11" spans="1:5">
      <c r="A11" s="110" t="s">
        <v>25</v>
      </c>
      <c r="B11" s="110" t="s">
        <v>124</v>
      </c>
      <c r="C11" s="111">
        <f>((C5-(C5*C7*C6*C8))/C9)*(44/12)*C10/1000000</f>
        <v>34.65</v>
      </c>
      <c r="D11" s="110"/>
      <c r="E11" s="94"/>
    </row>
    <row r="12" spans="1:5">
      <c r="A12" s="94"/>
      <c r="B12" s="94"/>
      <c r="C12" s="94"/>
      <c r="D12" s="94"/>
      <c r="E12" s="94"/>
    </row>
    <row r="13" spans="1:5">
      <c r="A13" s="94"/>
      <c r="B13" s="94"/>
      <c r="C13" s="94"/>
      <c r="D13" s="94"/>
      <c r="E13" s="94"/>
    </row>
    <row r="14" spans="1:5">
      <c r="A14" s="94"/>
      <c r="B14" s="94"/>
      <c r="C14" s="94"/>
      <c r="D14" s="94"/>
      <c r="E14" s="94"/>
    </row>
    <row r="15" spans="1:5">
      <c r="A15" s="94"/>
      <c r="B15" s="94"/>
      <c r="C15" s="94"/>
      <c r="D15" s="94"/>
      <c r="E15" s="94"/>
    </row>
    <row r="16" spans="1:5">
      <c r="A16" s="94"/>
      <c r="B16" s="94"/>
      <c r="C16" s="94"/>
      <c r="D16" s="94"/>
      <c r="E16" s="94"/>
    </row>
    <row r="17" spans="1:5">
      <c r="A17" s="94"/>
      <c r="B17" s="94"/>
      <c r="C17" s="94"/>
      <c r="D17" s="94"/>
      <c r="E17" s="94"/>
    </row>
  </sheetData>
  <hyperlinks>
    <hyperlink ref="A1" location="'Urban Mineral Soils'!A1" display="Urban mineral soil carbon stock change, omitted flux estimate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35"/>
  <sheetViews>
    <sheetView zoomScaleNormal="100" zoomScalePageLayoutView="90" workbookViewId="0">
      <selection activeCell="A2" sqref="A2"/>
    </sheetView>
  </sheetViews>
  <sheetFormatPr defaultColWidth="8.81640625" defaultRowHeight="14"/>
  <cols>
    <col min="1" max="1" width="63.6328125" style="46" customWidth="1"/>
    <col min="2" max="6" width="15" style="46" customWidth="1"/>
    <col min="7" max="7" width="19.453125" style="46" customWidth="1"/>
    <col min="8" max="8" width="15" style="46" customWidth="1"/>
    <col min="9" max="16384" width="8.81640625" style="46"/>
  </cols>
  <sheetData>
    <row r="1" spans="1:8">
      <c r="A1" s="247" t="s">
        <v>589</v>
      </c>
      <c r="B1" s="56"/>
      <c r="C1" s="56"/>
      <c r="D1" s="56"/>
      <c r="E1" s="56"/>
      <c r="F1" s="56"/>
      <c r="G1" s="56"/>
      <c r="H1" s="56"/>
    </row>
    <row r="2" spans="1:8">
      <c r="A2" s="56"/>
      <c r="B2" s="56"/>
      <c r="C2" s="56"/>
      <c r="D2" s="56"/>
      <c r="E2" s="56"/>
      <c r="F2" s="56"/>
      <c r="G2" s="56"/>
      <c r="H2" s="56"/>
    </row>
    <row r="3" spans="1:8">
      <c r="A3" s="60"/>
      <c r="B3" s="65"/>
      <c r="C3" s="65"/>
      <c r="D3" s="65"/>
      <c r="E3" s="65"/>
      <c r="F3" s="65"/>
      <c r="G3" s="65"/>
      <c r="H3" s="65"/>
    </row>
    <row r="4" spans="1:8" ht="42">
      <c r="A4" s="91" t="s">
        <v>118</v>
      </c>
      <c r="B4" s="92" t="s">
        <v>291</v>
      </c>
      <c r="C4" s="93" t="s">
        <v>292</v>
      </c>
      <c r="D4" s="93" t="s">
        <v>293</v>
      </c>
      <c r="E4" s="93" t="s">
        <v>294</v>
      </c>
      <c r="F4" s="93" t="s">
        <v>295</v>
      </c>
      <c r="G4" s="93" t="s">
        <v>262</v>
      </c>
      <c r="H4" s="93" t="s">
        <v>256</v>
      </c>
    </row>
    <row r="5" spans="1:8">
      <c r="A5" s="94" t="s">
        <v>334</v>
      </c>
      <c r="B5" s="95">
        <v>-9.9</v>
      </c>
      <c r="C5" s="95">
        <v>-11.7</v>
      </c>
      <c r="D5" s="95">
        <v>-8.1</v>
      </c>
      <c r="E5" s="95">
        <f>B5-C5</f>
        <v>1.7999999999999989</v>
      </c>
      <c r="F5" s="95">
        <f>D5-B5</f>
        <v>1.8000000000000007</v>
      </c>
      <c r="G5" s="95">
        <f>AVERAGE(E5:F5)/2</f>
        <v>0.89999999999999991</v>
      </c>
      <c r="H5" s="95">
        <f>G5^2</f>
        <v>0.80999999999999983</v>
      </c>
    </row>
    <row r="6" spans="1:8">
      <c r="A6" s="94" t="s">
        <v>335</v>
      </c>
      <c r="B6" s="95">
        <v>4.8</v>
      </c>
      <c r="C6" s="95">
        <v>4.0999999999999996</v>
      </c>
      <c r="D6" s="95">
        <v>5.5</v>
      </c>
      <c r="E6" s="95">
        <f>B6-C6</f>
        <v>0.70000000000000018</v>
      </c>
      <c r="F6" s="95">
        <f>D6-B6</f>
        <v>0.70000000000000018</v>
      </c>
      <c r="G6" s="95">
        <f>AVERAGE(E6:F6)/2</f>
        <v>0.35000000000000009</v>
      </c>
      <c r="H6" s="95">
        <f>G6^2</f>
        <v>0.12250000000000007</v>
      </c>
    </row>
    <row r="7" spans="1:8">
      <c r="A7" s="94" t="s">
        <v>336</v>
      </c>
      <c r="B7" s="95">
        <v>-4.0000000000000001E-3</v>
      </c>
      <c r="C7" s="95">
        <v>-5.0000000000000001E-3</v>
      </c>
      <c r="D7" s="95">
        <v>-4.0000000000000001E-3</v>
      </c>
      <c r="E7" s="95">
        <f>B7-C7</f>
        <v>1E-3</v>
      </c>
      <c r="F7" s="95">
        <f>D7-B7</f>
        <v>0</v>
      </c>
      <c r="G7" s="95">
        <f>AVERAGE(E7:F7)/2</f>
        <v>2.5000000000000001E-4</v>
      </c>
      <c r="H7" s="95">
        <f>G7^2</f>
        <v>6.2499999999999997E-8</v>
      </c>
    </row>
    <row r="8" spans="1:8">
      <c r="A8" s="94" t="s">
        <v>337</v>
      </c>
      <c r="B8" s="95">
        <v>-0.01</v>
      </c>
      <c r="C8" s="95">
        <v>-0.01</v>
      </c>
      <c r="D8" s="95">
        <v>-0.01</v>
      </c>
      <c r="E8" s="95">
        <f>B8-C8</f>
        <v>0</v>
      </c>
      <c r="F8" s="95">
        <f>D8-B8</f>
        <v>0</v>
      </c>
      <c r="G8" s="95">
        <f>AVERAGE(E8:F8)/2</f>
        <v>0</v>
      </c>
      <c r="H8" s="95">
        <f>G8^2</f>
        <v>0</v>
      </c>
    </row>
    <row r="9" spans="1:8">
      <c r="A9" s="94" t="s">
        <v>338</v>
      </c>
      <c r="B9" s="95">
        <v>-0.02</v>
      </c>
      <c r="C9" s="95">
        <v>-0.03</v>
      </c>
      <c r="D9" s="95">
        <v>-0.02</v>
      </c>
      <c r="E9" s="95">
        <f t="shared" ref="E9:E15" si="0">B9-C9</f>
        <v>9.9999999999999985E-3</v>
      </c>
      <c r="F9" s="95">
        <f t="shared" ref="F9:F15" si="1">D9-B9</f>
        <v>0</v>
      </c>
      <c r="G9" s="95">
        <f t="shared" ref="G9:G15" si="2">AVERAGE(E9:F9)/2</f>
        <v>2.4999999999999996E-3</v>
      </c>
      <c r="H9" s="95">
        <f t="shared" ref="H9:H15" si="3">G9^2</f>
        <v>6.2499999999999978E-6</v>
      </c>
    </row>
    <row r="10" spans="1:8">
      <c r="A10" s="94" t="s">
        <v>339</v>
      </c>
      <c r="B10" s="95">
        <v>0.04</v>
      </c>
      <c r="C10" s="95">
        <v>0.03</v>
      </c>
      <c r="D10" s="95">
        <v>0.05</v>
      </c>
      <c r="E10" s="95">
        <f t="shared" si="0"/>
        <v>1.0000000000000002E-2</v>
      </c>
      <c r="F10" s="95">
        <f t="shared" si="1"/>
        <v>1.0000000000000002E-2</v>
      </c>
      <c r="G10" s="95">
        <f t="shared" si="2"/>
        <v>5.000000000000001E-3</v>
      </c>
      <c r="H10" s="95">
        <f t="shared" si="3"/>
        <v>2.5000000000000011E-5</v>
      </c>
    </row>
    <row r="11" spans="1:8">
      <c r="A11" s="94" t="s">
        <v>340</v>
      </c>
      <c r="B11" s="95">
        <v>-0.01</v>
      </c>
      <c r="C11" s="95">
        <v>-0.01</v>
      </c>
      <c r="D11" s="95">
        <v>-0.01</v>
      </c>
      <c r="E11" s="95">
        <f t="shared" si="0"/>
        <v>0</v>
      </c>
      <c r="F11" s="95">
        <f t="shared" si="1"/>
        <v>0</v>
      </c>
      <c r="G11" s="95">
        <f t="shared" si="2"/>
        <v>0</v>
      </c>
      <c r="H11" s="95">
        <f t="shared" si="3"/>
        <v>0</v>
      </c>
    </row>
    <row r="12" spans="1:8">
      <c r="A12" s="94" t="s">
        <v>341</v>
      </c>
      <c r="B12" s="95">
        <v>-0.03</v>
      </c>
      <c r="C12" s="95">
        <v>-0.03</v>
      </c>
      <c r="D12" s="95">
        <v>-0.03</v>
      </c>
      <c r="E12" s="95">
        <f t="shared" si="0"/>
        <v>0</v>
      </c>
      <c r="F12" s="95">
        <f t="shared" si="1"/>
        <v>0</v>
      </c>
      <c r="G12" s="95">
        <f t="shared" si="2"/>
        <v>0</v>
      </c>
      <c r="H12" s="95">
        <f t="shared" si="3"/>
        <v>0</v>
      </c>
    </row>
    <row r="13" spans="1:8">
      <c r="A13" s="94" t="s">
        <v>342</v>
      </c>
      <c r="B13" s="95">
        <v>3.6</v>
      </c>
      <c r="C13" s="95">
        <v>2.5</v>
      </c>
      <c r="D13" s="95">
        <v>4.7</v>
      </c>
      <c r="E13" s="95">
        <f t="shared" si="0"/>
        <v>1.1000000000000001</v>
      </c>
      <c r="F13" s="95">
        <f t="shared" si="1"/>
        <v>1.1000000000000001</v>
      </c>
      <c r="G13" s="95">
        <f t="shared" si="2"/>
        <v>0.55000000000000004</v>
      </c>
      <c r="H13" s="95">
        <f t="shared" si="3"/>
        <v>0.30250000000000005</v>
      </c>
    </row>
    <row r="14" spans="1:8">
      <c r="A14" s="94" t="s">
        <v>343</v>
      </c>
      <c r="B14" s="95">
        <v>0.01</v>
      </c>
      <c r="C14" s="95">
        <v>0.01</v>
      </c>
      <c r="D14" s="95">
        <v>0.02</v>
      </c>
      <c r="E14" s="95">
        <f t="shared" si="0"/>
        <v>0</v>
      </c>
      <c r="F14" s="95">
        <f t="shared" si="1"/>
        <v>0.01</v>
      </c>
      <c r="G14" s="95">
        <f t="shared" si="2"/>
        <v>2.5000000000000001E-3</v>
      </c>
      <c r="H14" s="95">
        <f t="shared" si="3"/>
        <v>6.2500000000000003E-6</v>
      </c>
    </row>
    <row r="15" spans="1:8">
      <c r="A15" s="94" t="s">
        <v>344</v>
      </c>
      <c r="B15" s="95">
        <v>0.1</v>
      </c>
      <c r="C15" s="95">
        <v>0</v>
      </c>
      <c r="D15" s="95">
        <v>0.31</v>
      </c>
      <c r="E15" s="95">
        <f t="shared" si="0"/>
        <v>0.1</v>
      </c>
      <c r="F15" s="95">
        <f t="shared" si="1"/>
        <v>0.21</v>
      </c>
      <c r="G15" s="95">
        <f t="shared" si="2"/>
        <v>7.7499999999999999E-2</v>
      </c>
      <c r="H15" s="95">
        <f t="shared" si="3"/>
        <v>6.0062500000000003E-3</v>
      </c>
    </row>
    <row r="16" spans="1:8">
      <c r="A16" s="94" t="s">
        <v>267</v>
      </c>
      <c r="B16" s="95">
        <f>SUM(B5:B15)</f>
        <v>-1.4239999999999993</v>
      </c>
      <c r="C16" s="95">
        <f>B16-F16</f>
        <v>-3.6520429192454973</v>
      </c>
      <c r="D16" s="95">
        <f>B16+F16</f>
        <v>0.80404291924549853</v>
      </c>
      <c r="E16" s="95"/>
      <c r="F16" s="95">
        <f>G16*2</f>
        <v>2.2280429192454978</v>
      </c>
      <c r="G16" s="95">
        <f>H16^0.5</f>
        <v>1.1140214596227489</v>
      </c>
      <c r="H16" s="95">
        <f>SUM(H5:H15)</f>
        <v>1.2410438124999998</v>
      </c>
    </row>
    <row r="17" spans="1:9">
      <c r="A17" s="65"/>
      <c r="B17" s="65"/>
      <c r="C17" s="65"/>
      <c r="D17" s="65"/>
      <c r="E17" s="65"/>
      <c r="F17" s="65"/>
      <c r="G17" s="65"/>
      <c r="H17" s="65"/>
    </row>
    <row r="18" spans="1:9" ht="56.5">
      <c r="A18" s="93" t="s">
        <v>268</v>
      </c>
      <c r="B18" s="93" t="s">
        <v>533</v>
      </c>
      <c r="C18" s="93" t="s">
        <v>345</v>
      </c>
      <c r="D18" s="93" t="s">
        <v>269</v>
      </c>
      <c r="E18" s="93" t="s">
        <v>270</v>
      </c>
      <c r="F18" s="212" t="s">
        <v>346</v>
      </c>
      <c r="G18" s="65"/>
      <c r="H18" s="65"/>
    </row>
    <row r="19" spans="1:9">
      <c r="A19" s="224" t="s">
        <v>561</v>
      </c>
      <c r="B19" s="98">
        <v>4.46</v>
      </c>
      <c r="C19" s="98"/>
      <c r="D19" s="98"/>
      <c r="E19" s="65"/>
      <c r="F19" s="65"/>
      <c r="G19" s="65"/>
      <c r="H19" s="65"/>
    </row>
    <row r="20" spans="1:9">
      <c r="A20" s="94" t="s">
        <v>334</v>
      </c>
      <c r="B20" s="98">
        <v>2.63</v>
      </c>
      <c r="C20" s="98">
        <f>$B$19-B20</f>
        <v>1.83</v>
      </c>
      <c r="D20" s="225">
        <f>C20/$C$31</f>
        <v>0.69056603773584924</v>
      </c>
      <c r="E20" s="103">
        <f>D20*$B$19</f>
        <v>3.0799245283018877</v>
      </c>
      <c r="F20" s="103">
        <f>SUM(E20:E23)</f>
        <v>3.4670188679245286</v>
      </c>
      <c r="G20" s="99"/>
      <c r="H20" s="65"/>
      <c r="I20" s="88"/>
    </row>
    <row r="21" spans="1:9">
      <c r="A21" s="94" t="s">
        <v>335</v>
      </c>
      <c r="B21" s="98">
        <v>4.2300000000000004</v>
      </c>
      <c r="C21" s="98">
        <f t="shared" ref="C21:C30" si="4">$B$19-B21</f>
        <v>0.22999999999999954</v>
      </c>
      <c r="D21" s="225">
        <f t="shared" ref="D21:D30" si="5">C21/$C$31</f>
        <v>8.6792452830188521E-2</v>
      </c>
      <c r="E21" s="103">
        <f t="shared" ref="E21:E30" si="6">D21*$B$19</f>
        <v>0.38709433962264078</v>
      </c>
      <c r="F21" s="65"/>
      <c r="G21" s="65"/>
      <c r="H21" s="65"/>
    </row>
    <row r="22" spans="1:9">
      <c r="A22" s="94" t="s">
        <v>336</v>
      </c>
      <c r="B22" s="98">
        <v>4.46</v>
      </c>
      <c r="C22" s="98">
        <f t="shared" si="4"/>
        <v>0</v>
      </c>
      <c r="D22" s="225">
        <f t="shared" si="5"/>
        <v>0</v>
      </c>
      <c r="E22" s="103">
        <f t="shared" si="6"/>
        <v>0</v>
      </c>
      <c r="F22" s="65"/>
      <c r="G22" s="65"/>
      <c r="H22" s="65"/>
    </row>
    <row r="23" spans="1:9">
      <c r="A23" s="94" t="s">
        <v>337</v>
      </c>
      <c r="B23" s="98">
        <v>4.46</v>
      </c>
      <c r="C23" s="98">
        <f t="shared" si="4"/>
        <v>0</v>
      </c>
      <c r="D23" s="225">
        <f t="shared" si="5"/>
        <v>0</v>
      </c>
      <c r="E23" s="103">
        <f t="shared" si="6"/>
        <v>0</v>
      </c>
      <c r="F23" s="65"/>
      <c r="G23" s="65"/>
      <c r="H23" s="65"/>
    </row>
    <row r="24" spans="1:9">
      <c r="A24" s="94" t="s">
        <v>338</v>
      </c>
      <c r="B24" s="98">
        <v>4.46</v>
      </c>
      <c r="C24" s="98">
        <f t="shared" si="4"/>
        <v>0</v>
      </c>
      <c r="D24" s="225">
        <f t="shared" si="5"/>
        <v>0</v>
      </c>
      <c r="E24" s="103">
        <f t="shared" si="6"/>
        <v>0</v>
      </c>
      <c r="F24" s="95">
        <f>SUM(E24:E27)</f>
        <v>0</v>
      </c>
      <c r="G24" s="94"/>
      <c r="H24" s="94"/>
    </row>
    <row r="25" spans="1:9">
      <c r="A25" s="94" t="s">
        <v>339</v>
      </c>
      <c r="B25" s="98">
        <v>4.46</v>
      </c>
      <c r="C25" s="98">
        <f t="shared" si="4"/>
        <v>0</v>
      </c>
      <c r="D25" s="225">
        <f t="shared" si="5"/>
        <v>0</v>
      </c>
      <c r="E25" s="103">
        <f t="shared" si="6"/>
        <v>0</v>
      </c>
      <c r="F25" s="94"/>
      <c r="G25" s="94"/>
      <c r="H25" s="94"/>
    </row>
    <row r="26" spans="1:9">
      <c r="A26" s="94" t="s">
        <v>340</v>
      </c>
      <c r="B26" s="98">
        <v>4.46</v>
      </c>
      <c r="C26" s="98">
        <f t="shared" si="4"/>
        <v>0</v>
      </c>
      <c r="D26" s="225">
        <f t="shared" si="5"/>
        <v>0</v>
      </c>
      <c r="E26" s="103">
        <f t="shared" si="6"/>
        <v>0</v>
      </c>
      <c r="F26" s="94"/>
      <c r="G26" s="94"/>
      <c r="H26" s="94"/>
    </row>
    <row r="27" spans="1:9">
      <c r="A27" s="94" t="s">
        <v>341</v>
      </c>
      <c r="B27" s="98">
        <v>4.46</v>
      </c>
      <c r="C27" s="98">
        <f t="shared" si="4"/>
        <v>0</v>
      </c>
      <c r="D27" s="225">
        <f t="shared" si="5"/>
        <v>0</v>
      </c>
      <c r="E27" s="103">
        <f t="shared" si="6"/>
        <v>0</v>
      </c>
      <c r="F27" s="94"/>
      <c r="G27" s="94"/>
      <c r="H27" s="94"/>
    </row>
    <row r="28" spans="1:9">
      <c r="A28" s="94" t="s">
        <v>342</v>
      </c>
      <c r="B28" s="95">
        <v>3.88</v>
      </c>
      <c r="C28" s="98">
        <f t="shared" si="4"/>
        <v>0.58000000000000007</v>
      </c>
      <c r="D28" s="225">
        <f t="shared" si="5"/>
        <v>0.21886792452830195</v>
      </c>
      <c r="E28" s="103">
        <f t="shared" si="6"/>
        <v>0.97615094339622666</v>
      </c>
      <c r="F28" s="95">
        <f>SUM(E28:E29)</f>
        <v>0.97615094339622666</v>
      </c>
      <c r="G28" s="94"/>
      <c r="H28" s="94"/>
    </row>
    <row r="29" spans="1:9">
      <c r="A29" s="94" t="s">
        <v>343</v>
      </c>
      <c r="B29" s="98">
        <v>4.46</v>
      </c>
      <c r="C29" s="98">
        <f t="shared" si="4"/>
        <v>0</v>
      </c>
      <c r="D29" s="225">
        <f t="shared" si="5"/>
        <v>0</v>
      </c>
      <c r="E29" s="103">
        <f t="shared" si="6"/>
        <v>0</v>
      </c>
      <c r="F29" s="94"/>
      <c r="G29" s="94"/>
      <c r="H29" s="94"/>
    </row>
    <row r="30" spans="1:9">
      <c r="A30" s="94" t="s">
        <v>344</v>
      </c>
      <c r="B30" s="95">
        <v>4.45</v>
      </c>
      <c r="C30" s="98">
        <f t="shared" si="4"/>
        <v>9.9999999999997868E-3</v>
      </c>
      <c r="D30" s="225">
        <f t="shared" si="5"/>
        <v>3.7735849056602976E-3</v>
      </c>
      <c r="E30" s="103">
        <f t="shared" si="6"/>
        <v>1.6830188679244927E-2</v>
      </c>
      <c r="F30" s="95">
        <f>E30</f>
        <v>1.6830188679244927E-2</v>
      </c>
      <c r="G30" s="94"/>
      <c r="H30" s="94"/>
    </row>
    <row r="31" spans="1:9">
      <c r="A31" s="94"/>
      <c r="B31" s="94"/>
      <c r="C31" s="131">
        <f>SUM(C20:C30)</f>
        <v>2.6499999999999995</v>
      </c>
      <c r="D31" s="131">
        <f>SUM(D20:D30)</f>
        <v>1</v>
      </c>
      <c r="E31" s="65">
        <f>SUM(E20:E30)</f>
        <v>4.4600000000000009</v>
      </c>
      <c r="F31" s="94"/>
      <c r="G31" s="94"/>
      <c r="H31" s="94"/>
    </row>
    <row r="32" spans="1:9">
      <c r="A32" s="94"/>
      <c r="B32" s="94"/>
      <c r="C32" s="94"/>
      <c r="D32" s="94"/>
      <c r="E32" s="94"/>
      <c r="F32" s="94"/>
      <c r="G32" s="94"/>
      <c r="H32" s="94"/>
    </row>
    <row r="33" spans="1:8">
      <c r="A33" s="94"/>
      <c r="B33" s="94"/>
      <c r="C33" s="94"/>
      <c r="D33" s="94"/>
      <c r="E33" s="94"/>
      <c r="F33" s="94"/>
      <c r="G33" s="94"/>
      <c r="H33" s="94"/>
    </row>
    <row r="34" spans="1:8">
      <c r="A34" s="94"/>
      <c r="B34" s="94"/>
      <c r="C34" s="94"/>
      <c r="D34" s="94"/>
      <c r="E34" s="94"/>
      <c r="F34" s="94"/>
      <c r="G34" s="94"/>
      <c r="H34" s="94"/>
    </row>
    <row r="35" spans="1:8">
      <c r="A35" s="94"/>
      <c r="B35" s="94"/>
      <c r="C35" s="94"/>
      <c r="D35" s="94"/>
      <c r="E35" s="94"/>
      <c r="F35" s="94"/>
      <c r="G35" s="94"/>
      <c r="H35" s="94"/>
    </row>
  </sheetData>
  <hyperlinks>
    <hyperlink ref="A1" location="'T-39 Coastal wetlands'!A1" display="Table T-39: Coastal wetlands, uncertainty attribution"/>
  </hyperlinks>
  <pageMargins left="0.7" right="0.7" top="0.75" bottom="0.75" header="0.3" footer="0.3"/>
  <pageSetup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</sheetPr>
  <dimension ref="A1:M85"/>
  <sheetViews>
    <sheetView workbookViewId="0">
      <selection activeCell="A4" sqref="A4"/>
    </sheetView>
  </sheetViews>
  <sheetFormatPr defaultColWidth="8.81640625" defaultRowHeight="14"/>
  <cols>
    <col min="1" max="1" width="53.36328125" style="46" customWidth="1"/>
    <col min="2" max="2" width="16.54296875" style="46" customWidth="1"/>
    <col min="3" max="3" width="9.81640625" style="46" customWidth="1"/>
    <col min="4" max="4" width="10" style="46" customWidth="1"/>
    <col min="5" max="5" width="26.1796875" style="46" customWidth="1"/>
    <col min="6" max="6" width="14.1796875" style="46" customWidth="1"/>
    <col min="7" max="7" width="17" style="46" customWidth="1"/>
    <col min="8" max="8" width="9" style="46" customWidth="1"/>
    <col min="9" max="9" width="9.1796875" style="46" customWidth="1"/>
    <col min="10" max="10" width="10" style="46" customWidth="1"/>
    <col min="11" max="11" width="9" style="46" customWidth="1"/>
    <col min="12" max="16384" width="8.81640625" style="46"/>
  </cols>
  <sheetData>
    <row r="1" spans="1:13">
      <c r="A1" s="214" t="s">
        <v>595</v>
      </c>
      <c r="K1" s="49" t="s">
        <v>435</v>
      </c>
    </row>
    <row r="2" spans="1:13">
      <c r="A2" s="214"/>
      <c r="K2" s="49"/>
    </row>
    <row r="3" spans="1:13">
      <c r="A3" s="49" t="s">
        <v>434</v>
      </c>
      <c r="K3" s="49"/>
    </row>
    <row r="4" spans="1:13">
      <c r="B4" s="49" t="s">
        <v>437</v>
      </c>
      <c r="C4" s="49" t="s">
        <v>347</v>
      </c>
      <c r="D4" s="49" t="s">
        <v>348</v>
      </c>
      <c r="E4" s="49" t="s">
        <v>433</v>
      </c>
      <c r="F4" s="49" t="s">
        <v>349</v>
      </c>
    </row>
    <row r="5" spans="1:13">
      <c r="A5" s="46" t="s">
        <v>350</v>
      </c>
      <c r="B5" s="88">
        <v>40543599.301106587</v>
      </c>
      <c r="C5" s="88">
        <v>6.2</v>
      </c>
      <c r="D5" s="88">
        <v>24.5</v>
      </c>
      <c r="E5" s="88">
        <f>SUM(C5:D5)*1000000</f>
        <v>30700000</v>
      </c>
      <c r="F5" s="88">
        <v>9600000</v>
      </c>
      <c r="G5" s="88">
        <f>SUM(E5:F5)</f>
        <v>40300000</v>
      </c>
      <c r="H5" s="88"/>
      <c r="I5" s="88"/>
      <c r="J5" s="88"/>
      <c r="K5" s="88">
        <f>G5/E5</f>
        <v>1.3127035830618892</v>
      </c>
      <c r="L5" s="88"/>
      <c r="M5" s="88"/>
    </row>
    <row r="6" spans="1:13">
      <c r="A6" s="46" t="s">
        <v>66</v>
      </c>
      <c r="B6" s="88">
        <v>40023.296447291788</v>
      </c>
      <c r="C6" s="88"/>
      <c r="D6" s="88"/>
      <c r="E6" s="88">
        <v>28700</v>
      </c>
      <c r="F6" s="88"/>
      <c r="G6" s="88"/>
      <c r="H6" s="88"/>
      <c r="I6" s="88"/>
      <c r="J6" s="88"/>
      <c r="K6" s="88"/>
      <c r="L6" s="88"/>
      <c r="M6" s="88"/>
    </row>
    <row r="7" spans="1:13">
      <c r="A7" s="46" t="s">
        <v>64</v>
      </c>
      <c r="B7" s="88">
        <v>94254863.133372173</v>
      </c>
      <c r="C7" s="88"/>
      <c r="D7" s="88"/>
      <c r="E7" s="88">
        <v>50000000</v>
      </c>
      <c r="F7" s="88">
        <v>25800000</v>
      </c>
      <c r="G7" s="88"/>
      <c r="H7" s="88"/>
      <c r="I7" s="88"/>
      <c r="J7" s="88"/>
      <c r="K7" s="88">
        <f>E7/(E7+F7)</f>
        <v>0.65963060686015829</v>
      </c>
      <c r="L7" s="88"/>
      <c r="M7" s="88"/>
    </row>
    <row r="8" spans="1:13">
      <c r="A8" s="46" t="s">
        <v>351</v>
      </c>
      <c r="B8" s="88">
        <v>12927524.752475247</v>
      </c>
      <c r="C8" s="88"/>
      <c r="D8" s="88"/>
      <c r="E8" s="88">
        <f>B8</f>
        <v>12927524.752475247</v>
      </c>
      <c r="F8" s="88"/>
      <c r="G8" s="88"/>
      <c r="H8" s="88"/>
      <c r="I8" s="88"/>
      <c r="J8" s="88"/>
      <c r="K8" s="88"/>
      <c r="L8" s="88"/>
      <c r="M8" s="88"/>
    </row>
    <row r="9" spans="1:13">
      <c r="A9" s="46" t="s">
        <v>352</v>
      </c>
      <c r="B9" s="88">
        <v>180104.83401281305</v>
      </c>
      <c r="C9" s="88"/>
      <c r="D9" s="88"/>
      <c r="E9" s="88">
        <f>B9</f>
        <v>180104.83401281305</v>
      </c>
      <c r="F9" s="88"/>
      <c r="G9" s="88"/>
      <c r="H9" s="88"/>
      <c r="I9" s="88"/>
      <c r="J9" s="88"/>
      <c r="K9" s="88"/>
      <c r="L9" s="88"/>
      <c r="M9" s="88"/>
    </row>
    <row r="10" spans="1:13">
      <c r="A10" s="46" t="s">
        <v>353</v>
      </c>
      <c r="B10" s="88">
        <v>23853884.68258591</v>
      </c>
      <c r="C10" s="88"/>
      <c r="D10" s="88"/>
      <c r="E10" s="88">
        <f>B10</f>
        <v>23853884.68258591</v>
      </c>
      <c r="F10" s="88"/>
      <c r="G10" s="88"/>
      <c r="H10" s="88"/>
      <c r="I10" s="88"/>
      <c r="J10" s="88"/>
      <c r="K10" s="88"/>
      <c r="L10" s="88"/>
      <c r="M10" s="88"/>
    </row>
    <row r="11" spans="1:13">
      <c r="B11" s="88">
        <v>171800000</v>
      </c>
      <c r="C11" s="88"/>
      <c r="D11" s="88"/>
      <c r="E11" s="88">
        <f>SUM(E5:E10)</f>
        <v>117690214.26907396</v>
      </c>
      <c r="F11" s="88"/>
      <c r="G11" s="88"/>
      <c r="H11" s="88"/>
      <c r="I11" s="88"/>
      <c r="J11" s="88"/>
      <c r="K11" s="88"/>
      <c r="L11" s="88"/>
      <c r="M11" s="88"/>
    </row>
    <row r="12" spans="1:13"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4" spans="1:13">
      <c r="A14" s="49" t="s">
        <v>354</v>
      </c>
    </row>
    <row r="15" spans="1:13">
      <c r="A15" s="214" t="s">
        <v>355</v>
      </c>
    </row>
    <row r="16" spans="1:13" ht="42">
      <c r="A16" s="47" t="s">
        <v>356</v>
      </c>
      <c r="B16" s="88">
        <f>7.9+1.7+5.4+22.8+60.3</f>
        <v>98.1</v>
      </c>
    </row>
    <row r="17" spans="1:2">
      <c r="A17" s="47" t="s">
        <v>357</v>
      </c>
      <c r="B17" s="88">
        <f>B16/158.4</f>
        <v>0.61931818181818177</v>
      </c>
    </row>
    <row r="18" spans="1:2">
      <c r="A18" s="47" t="s">
        <v>358</v>
      </c>
      <c r="B18" s="88">
        <f>0.1+0.6+19.3+29.7</f>
        <v>49.7</v>
      </c>
    </row>
    <row r="19" spans="1:2">
      <c r="A19" s="47" t="s">
        <v>359</v>
      </c>
      <c r="B19" s="88">
        <f>B18/63.4</f>
        <v>0.78391167192429023</v>
      </c>
    </row>
    <row r="20" spans="1:2">
      <c r="A20" s="47" t="s">
        <v>360</v>
      </c>
      <c r="B20" s="88">
        <f>B17*31.6</f>
        <v>19.570454545454545</v>
      </c>
    </row>
    <row r="21" spans="1:2" ht="28">
      <c r="A21" s="47" t="s">
        <v>361</v>
      </c>
      <c r="B21" s="88">
        <f>B19*7.2</f>
        <v>5.6441640378548898</v>
      </c>
    </row>
    <row r="22" spans="1:2">
      <c r="A22" s="47" t="s">
        <v>362</v>
      </c>
      <c r="B22" s="88">
        <f>B20+B16+B18+B21</f>
        <v>173.01461858330944</v>
      </c>
    </row>
    <row r="23" spans="1:2">
      <c r="A23" s="47" t="s">
        <v>363</v>
      </c>
      <c r="B23" s="88">
        <v>406.59</v>
      </c>
    </row>
    <row r="24" spans="1:2">
      <c r="A24" s="47" t="s">
        <v>364</v>
      </c>
      <c r="B24" s="88">
        <f>B22/B23</f>
        <v>0.42552600551737491</v>
      </c>
    </row>
    <row r="25" spans="1:2" ht="28">
      <c r="A25" s="47" t="s">
        <v>365</v>
      </c>
      <c r="B25" s="88">
        <f>(0.0287+50)*0.85</f>
        <v>42.524394999999998</v>
      </c>
    </row>
    <row r="26" spans="1:2">
      <c r="A26" s="47" t="s">
        <v>366</v>
      </c>
      <c r="B26" s="88">
        <f>B25*B24</f>
        <v>18.095235941393028</v>
      </c>
    </row>
    <row r="27" spans="1:2">
      <c r="A27" s="47"/>
    </row>
    <row r="28" spans="1:2">
      <c r="A28" s="215" t="s">
        <v>367</v>
      </c>
    </row>
    <row r="29" spans="1:2">
      <c r="A29" s="47" t="s">
        <v>368</v>
      </c>
      <c r="B29" s="88">
        <f>0.32+0.19+0.87</f>
        <v>1.38</v>
      </c>
    </row>
    <row r="30" spans="1:2" ht="28">
      <c r="A30" s="47" t="s">
        <v>369</v>
      </c>
      <c r="B30" s="88">
        <v>6.1</v>
      </c>
    </row>
    <row r="31" spans="1:2">
      <c r="A31" s="47" t="s">
        <v>370</v>
      </c>
      <c r="B31" s="88">
        <f>B30/B29</f>
        <v>4.4202898550724639</v>
      </c>
    </row>
    <row r="32" spans="1:2" ht="28">
      <c r="A32" s="47" t="s">
        <v>371</v>
      </c>
      <c r="B32" s="88">
        <f>1.33/407.92</f>
        <v>3.2604432241616003E-3</v>
      </c>
    </row>
    <row r="33" spans="1:2" ht="28">
      <c r="A33" s="47" t="s">
        <v>372</v>
      </c>
      <c r="B33" s="88">
        <f>(0.0287+50)*B32</f>
        <v>0.16311573592861345</v>
      </c>
    </row>
    <row r="34" spans="1:2">
      <c r="A34" s="47" t="s">
        <v>366</v>
      </c>
      <c r="B34" s="88">
        <f>B33*B31</f>
        <v>0.72101883272792899</v>
      </c>
    </row>
    <row r="35" spans="1:2">
      <c r="A35" s="47"/>
      <c r="B35" s="88"/>
    </row>
    <row r="36" spans="1:2">
      <c r="A36" s="215" t="s">
        <v>373</v>
      </c>
      <c r="B36" s="88"/>
    </row>
    <row r="37" spans="1:2">
      <c r="A37" s="47" t="s">
        <v>374</v>
      </c>
      <c r="B37" s="88">
        <f>E6/1000000*B32</f>
        <v>9.3574720533437923E-5</v>
      </c>
    </row>
    <row r="38" spans="1:2" ht="28">
      <c r="A38" s="47" t="s">
        <v>375</v>
      </c>
      <c r="B38" s="88">
        <f>33.2</f>
        <v>33.200000000000003</v>
      </c>
    </row>
    <row r="39" spans="1:2">
      <c r="A39" s="47" t="s">
        <v>376</v>
      </c>
      <c r="B39" s="88">
        <f>B29</f>
        <v>1.38</v>
      </c>
    </row>
    <row r="40" spans="1:2">
      <c r="A40" s="47" t="s">
        <v>370</v>
      </c>
      <c r="B40" s="88">
        <f>B38/B39</f>
        <v>24.057971014492757</v>
      </c>
    </row>
    <row r="41" spans="1:2">
      <c r="A41" s="47" t="s">
        <v>366</v>
      </c>
      <c r="B41" s="88">
        <f>B40*B37</f>
        <v>2.2512179142827097E-3</v>
      </c>
    </row>
    <row r="42" spans="1:2">
      <c r="A42" s="47"/>
      <c r="B42" s="88"/>
    </row>
    <row r="43" spans="1:2">
      <c r="A43" s="215" t="s">
        <v>377</v>
      </c>
      <c r="B43" s="88"/>
    </row>
    <row r="44" spans="1:2">
      <c r="A44" s="47" t="s">
        <v>374</v>
      </c>
      <c r="B44" s="88">
        <f>(E6/1000000)-B37</f>
        <v>2.8606425279466562E-2</v>
      </c>
    </row>
    <row r="45" spans="1:2" ht="28">
      <c r="A45" s="47" t="s">
        <v>378</v>
      </c>
      <c r="B45" s="88">
        <v>-23.6</v>
      </c>
    </row>
    <row r="46" spans="1:2">
      <c r="A46" s="47" t="s">
        <v>379</v>
      </c>
      <c r="B46" s="88">
        <f>1.33/407.92</f>
        <v>3.2604432241616003E-3</v>
      </c>
    </row>
    <row r="47" spans="1:2">
      <c r="A47" s="47" t="s">
        <v>380</v>
      </c>
      <c r="B47" s="88">
        <f>163*(1-B46)</f>
        <v>162.46854775446167</v>
      </c>
    </row>
    <row r="48" spans="1:2">
      <c r="A48" s="47" t="s">
        <v>370</v>
      </c>
      <c r="B48" s="88">
        <f>B45/B47</f>
        <v>-0.14525888441907309</v>
      </c>
    </row>
    <row r="49" spans="1:11">
      <c r="A49" s="47" t="s">
        <v>366</v>
      </c>
      <c r="B49" s="88">
        <f>B48*B44</f>
        <v>-4.1553374233128841E-3</v>
      </c>
    </row>
    <row r="50" spans="1:11">
      <c r="A50" s="47"/>
    </row>
    <row r="51" spans="1:11">
      <c r="A51" s="215" t="s">
        <v>381</v>
      </c>
      <c r="B51" s="46">
        <v>2009</v>
      </c>
      <c r="C51" s="46">
        <v>2010</v>
      </c>
      <c r="D51" s="46">
        <v>2011</v>
      </c>
      <c r="E51" s="46">
        <v>2012</v>
      </c>
      <c r="F51" s="46">
        <v>2013</v>
      </c>
      <c r="G51" s="46">
        <v>2014</v>
      </c>
      <c r="H51" s="46">
        <v>2015</v>
      </c>
      <c r="I51" s="46">
        <v>2016</v>
      </c>
      <c r="J51" s="46">
        <v>2017</v>
      </c>
      <c r="K51" s="46" t="s">
        <v>382</v>
      </c>
    </row>
    <row r="52" spans="1:11">
      <c r="A52" s="47" t="s">
        <v>383</v>
      </c>
      <c r="B52" s="88">
        <v>398</v>
      </c>
      <c r="C52" s="88">
        <v>105.1</v>
      </c>
      <c r="D52" s="88">
        <v>28</v>
      </c>
      <c r="E52" s="88">
        <v>14.9</v>
      </c>
      <c r="F52" s="88">
        <v>185.5</v>
      </c>
      <c r="G52" s="88">
        <v>52.9</v>
      </c>
      <c r="H52" s="88">
        <v>643.4</v>
      </c>
      <c r="I52" s="88">
        <v>27</v>
      </c>
      <c r="J52" s="88">
        <v>27</v>
      </c>
      <c r="K52" s="88">
        <f>AVERAGE(B52:J52)</f>
        <v>164.64444444444445</v>
      </c>
    </row>
    <row r="53" spans="1:11">
      <c r="A53" s="47" t="s">
        <v>384</v>
      </c>
      <c r="B53" s="88">
        <v>2951592</v>
      </c>
      <c r="C53" s="88">
        <v>1125419</v>
      </c>
      <c r="D53" s="88">
        <v>293018</v>
      </c>
      <c r="E53" s="88">
        <v>286888</v>
      </c>
      <c r="F53" s="88">
        <v>1316289</v>
      </c>
      <c r="G53" s="88">
        <v>233530</v>
      </c>
      <c r="H53" s="88">
        <v>5111453</v>
      </c>
      <c r="I53" s="88">
        <v>500949</v>
      </c>
      <c r="J53" s="88">
        <v>653148</v>
      </c>
      <c r="K53" s="88">
        <f t="shared" ref="K53:K57" si="0">AVERAGE(B53:J53)</f>
        <v>1385809.5555555555</v>
      </c>
    </row>
    <row r="54" spans="1:11" ht="28">
      <c r="A54" s="47" t="s">
        <v>385</v>
      </c>
      <c r="B54" s="88">
        <f t="shared" ref="B54:J54" si="1">B52*$K$5</f>
        <v>522.45602605863189</v>
      </c>
      <c r="C54" s="88">
        <f t="shared" si="1"/>
        <v>137.96514657980455</v>
      </c>
      <c r="D54" s="88">
        <f t="shared" si="1"/>
        <v>36.755700325732896</v>
      </c>
      <c r="E54" s="88">
        <f t="shared" si="1"/>
        <v>19.559283387622148</v>
      </c>
      <c r="F54" s="88">
        <f t="shared" si="1"/>
        <v>243.50651465798043</v>
      </c>
      <c r="G54" s="88">
        <f t="shared" si="1"/>
        <v>69.442019543973942</v>
      </c>
      <c r="H54" s="88">
        <f t="shared" si="1"/>
        <v>844.59348534201945</v>
      </c>
      <c r="I54" s="88">
        <f t="shared" si="1"/>
        <v>35.442996742671006</v>
      </c>
      <c r="J54" s="88">
        <f t="shared" si="1"/>
        <v>35.442996742671006</v>
      </c>
      <c r="K54" s="88">
        <f t="shared" si="0"/>
        <v>216.12935215345638</v>
      </c>
    </row>
    <row r="55" spans="1:11">
      <c r="A55" s="47" t="s">
        <v>386</v>
      </c>
      <c r="B55" s="88">
        <f>B53/1000*0.404</f>
        <v>1192.443168</v>
      </c>
      <c r="C55" s="88">
        <f t="shared" ref="C55:J55" si="2">C53/1000*0.404</f>
        <v>454.66927600000008</v>
      </c>
      <c r="D55" s="88">
        <f t="shared" si="2"/>
        <v>118.379272</v>
      </c>
      <c r="E55" s="88">
        <f t="shared" si="2"/>
        <v>115.90275199999999</v>
      </c>
      <c r="F55" s="88">
        <f t="shared" si="2"/>
        <v>531.780756</v>
      </c>
      <c r="G55" s="88">
        <f t="shared" si="2"/>
        <v>94.346120000000013</v>
      </c>
      <c r="H55" s="88">
        <f t="shared" si="2"/>
        <v>2065.0270120000005</v>
      </c>
      <c r="I55" s="88">
        <f t="shared" si="2"/>
        <v>202.383396</v>
      </c>
      <c r="J55" s="88">
        <f t="shared" si="2"/>
        <v>263.87179200000003</v>
      </c>
      <c r="K55" s="88">
        <f t="shared" si="0"/>
        <v>559.86706044444463</v>
      </c>
    </row>
    <row r="56" spans="1:11" ht="28">
      <c r="A56" s="47" t="s">
        <v>387</v>
      </c>
      <c r="B56" s="88">
        <f>B55-B54</f>
        <v>669.98714194136812</v>
      </c>
      <c r="C56" s="88">
        <f t="shared" ref="C56:J56" si="3">C55-C54</f>
        <v>316.7041294201955</v>
      </c>
      <c r="D56" s="88">
        <f t="shared" si="3"/>
        <v>81.623571674267112</v>
      </c>
      <c r="E56" s="88">
        <f t="shared" si="3"/>
        <v>96.343468612377848</v>
      </c>
      <c r="F56" s="88">
        <f t="shared" si="3"/>
        <v>288.27424134201954</v>
      </c>
      <c r="G56" s="88">
        <f t="shared" si="3"/>
        <v>24.904100456026072</v>
      </c>
      <c r="H56" s="88">
        <f t="shared" si="3"/>
        <v>1220.433526657981</v>
      </c>
      <c r="I56" s="88">
        <f t="shared" si="3"/>
        <v>166.94039925732901</v>
      </c>
      <c r="J56" s="88">
        <f t="shared" si="3"/>
        <v>228.42879525732903</v>
      </c>
      <c r="K56" s="88">
        <f t="shared" si="0"/>
        <v>343.73770829098811</v>
      </c>
    </row>
    <row r="57" spans="1:11">
      <c r="A57" s="47" t="s">
        <v>388</v>
      </c>
      <c r="B57" s="88">
        <f t="shared" ref="B57:J57" si="4">B56*$K$7/1000</f>
        <v>0.44194402502728763</v>
      </c>
      <c r="C57" s="88">
        <f t="shared" si="4"/>
        <v>0.20890773708456167</v>
      </c>
      <c r="D57" s="88">
        <f t="shared" si="4"/>
        <v>5.3841406117590439E-2</v>
      </c>
      <c r="E57" s="88">
        <f t="shared" si="4"/>
        <v>6.3551100667795415E-2</v>
      </c>
      <c r="F57" s="88">
        <f t="shared" si="4"/>
        <v>0.19015451275858808</v>
      </c>
      <c r="G57" s="88">
        <f t="shared" si="4"/>
        <v>1.6427506897114821E-2</v>
      </c>
      <c r="H57" s="88">
        <f t="shared" si="4"/>
        <v>0.80503530782188715</v>
      </c>
      <c r="I57" s="88">
        <f t="shared" si="4"/>
        <v>0.11011899687158905</v>
      </c>
      <c r="J57" s="88">
        <f t="shared" si="4"/>
        <v>0.15067862483992678</v>
      </c>
      <c r="K57" s="88">
        <f t="shared" si="0"/>
        <v>0.22673991312070452</v>
      </c>
    </row>
    <row r="58" spans="1:11">
      <c r="A58" s="47" t="s">
        <v>389</v>
      </c>
      <c r="B58" s="88">
        <v>14.3</v>
      </c>
      <c r="C58" s="88"/>
      <c r="D58" s="88"/>
      <c r="E58" s="88"/>
      <c r="F58" s="88"/>
      <c r="G58" s="88"/>
      <c r="H58" s="88"/>
      <c r="I58" s="88"/>
      <c r="J58" s="88"/>
      <c r="K58" s="88"/>
    </row>
    <row r="59" spans="1:11">
      <c r="A59" s="47" t="s">
        <v>390</v>
      </c>
      <c r="B59" s="88">
        <v>2.2999999999999998</v>
      </c>
      <c r="C59" s="88"/>
      <c r="D59" s="88"/>
      <c r="E59" s="88"/>
      <c r="F59" s="88"/>
      <c r="G59" s="88"/>
      <c r="H59" s="88"/>
      <c r="I59" s="88"/>
      <c r="J59" s="88"/>
      <c r="K59" s="88"/>
    </row>
    <row r="60" spans="1:11">
      <c r="A60" s="47" t="s">
        <v>391</v>
      </c>
      <c r="B60" s="88">
        <v>0.21</v>
      </c>
      <c r="C60" s="88"/>
      <c r="D60" s="88"/>
      <c r="E60" s="88"/>
      <c r="F60" s="88"/>
      <c r="G60" s="88"/>
      <c r="H60" s="88"/>
      <c r="I60" s="88"/>
      <c r="J60" s="88"/>
      <c r="K60" s="88"/>
    </row>
    <row r="61" spans="1:11">
      <c r="A61" s="47" t="s">
        <v>392</v>
      </c>
      <c r="B61" s="88">
        <f>$B$58*B57</f>
        <v>6.3197995578902137</v>
      </c>
      <c r="C61" s="88">
        <f t="shared" ref="C61:J61" si="5">$B$58*C57</f>
        <v>2.9873806403092322</v>
      </c>
      <c r="D61" s="88">
        <f t="shared" si="5"/>
        <v>0.76993210748154328</v>
      </c>
      <c r="E61" s="88">
        <f t="shared" si="5"/>
        <v>0.90878073954947447</v>
      </c>
      <c r="F61" s="88">
        <f t="shared" si="5"/>
        <v>2.7192095324478096</v>
      </c>
      <c r="G61" s="88">
        <f t="shared" si="5"/>
        <v>0.23491334862874197</v>
      </c>
      <c r="H61" s="88">
        <f t="shared" si="5"/>
        <v>11.512004901852986</v>
      </c>
      <c r="I61" s="88">
        <f t="shared" si="5"/>
        <v>1.5747016552637234</v>
      </c>
      <c r="J61" s="88">
        <f t="shared" si="5"/>
        <v>2.1547043352109529</v>
      </c>
      <c r="K61" s="88"/>
    </row>
    <row r="62" spans="1:11">
      <c r="A62" s="47" t="s">
        <v>393</v>
      </c>
      <c r="B62" s="88">
        <f>B61*$B$59/1000</f>
        <v>1.4535538983147491E-2</v>
      </c>
      <c r="C62" s="88">
        <f t="shared" ref="C62:J62" si="6">C61*$B$59/1000</f>
        <v>6.8709754727112335E-3</v>
      </c>
      <c r="D62" s="88">
        <f t="shared" si="6"/>
        <v>1.7708438472075494E-3</v>
      </c>
      <c r="E62" s="88">
        <f t="shared" si="6"/>
        <v>2.0901957009637909E-3</v>
      </c>
      <c r="F62" s="88">
        <f t="shared" si="6"/>
        <v>6.2541819246299622E-3</v>
      </c>
      <c r="G62" s="88">
        <f t="shared" si="6"/>
        <v>5.4030070184610647E-4</v>
      </c>
      <c r="H62" s="88">
        <f t="shared" si="6"/>
        <v>2.6477611274261868E-2</v>
      </c>
      <c r="I62" s="88">
        <f t="shared" si="6"/>
        <v>3.6218138071065636E-3</v>
      </c>
      <c r="J62" s="88">
        <f t="shared" si="6"/>
        <v>4.9558199709851918E-3</v>
      </c>
      <c r="K62" s="88"/>
    </row>
    <row r="63" spans="1:11">
      <c r="A63" s="47" t="s">
        <v>394</v>
      </c>
      <c r="B63" s="88">
        <f>B62*25</f>
        <v>0.36338847457868728</v>
      </c>
      <c r="C63" s="88">
        <f t="shared" ref="C63:J63" si="7">C62*25</f>
        <v>0.17177438681778084</v>
      </c>
      <c r="D63" s="88">
        <f t="shared" si="7"/>
        <v>4.4271096180188735E-2</v>
      </c>
      <c r="E63" s="88">
        <f t="shared" si="7"/>
        <v>5.2254892524094772E-2</v>
      </c>
      <c r="F63" s="88">
        <f t="shared" si="7"/>
        <v>0.15635454811574906</v>
      </c>
      <c r="G63" s="88">
        <f t="shared" si="7"/>
        <v>1.3507517546152661E-2</v>
      </c>
      <c r="H63" s="88">
        <f t="shared" si="7"/>
        <v>0.66194028185654674</v>
      </c>
      <c r="I63" s="88">
        <f t="shared" si="7"/>
        <v>9.0545345177664091E-2</v>
      </c>
      <c r="J63" s="88">
        <f t="shared" si="7"/>
        <v>0.1238954992746298</v>
      </c>
      <c r="K63" s="88"/>
    </row>
    <row r="64" spans="1:11">
      <c r="A64" s="47" t="s">
        <v>395</v>
      </c>
      <c r="B64" s="88">
        <f>B61*$B$60/1000</f>
        <v>1.3271579071569449E-3</v>
      </c>
      <c r="C64" s="88">
        <f t="shared" ref="C64:J64" si="8">C61*$B$60/1000</f>
        <v>6.2734993446493872E-4</v>
      </c>
      <c r="D64" s="88">
        <f t="shared" si="8"/>
        <v>1.6168574257112409E-4</v>
      </c>
      <c r="E64" s="88">
        <f t="shared" si="8"/>
        <v>1.9084395530538965E-4</v>
      </c>
      <c r="F64" s="88">
        <f t="shared" si="8"/>
        <v>5.7103400181403991E-4</v>
      </c>
      <c r="G64" s="88">
        <f t="shared" si="8"/>
        <v>4.9331803212035815E-5</v>
      </c>
      <c r="H64" s="88">
        <f t="shared" si="8"/>
        <v>2.4175210293891271E-3</v>
      </c>
      <c r="I64" s="88">
        <f t="shared" si="8"/>
        <v>3.306873476053819E-4</v>
      </c>
      <c r="J64" s="88">
        <f t="shared" si="8"/>
        <v>4.524879103943001E-4</v>
      </c>
      <c r="K64" s="88"/>
    </row>
    <row r="65" spans="1:11">
      <c r="A65" s="47" t="s">
        <v>396</v>
      </c>
      <c r="B65" s="88">
        <f>B64*298</f>
        <v>0.39549305633276954</v>
      </c>
      <c r="C65" s="88">
        <f t="shared" ref="C65:J65" si="9">C64*298</f>
        <v>0.18695028047055173</v>
      </c>
      <c r="D65" s="88">
        <f t="shared" si="9"/>
        <v>4.8182351286194983E-2</v>
      </c>
      <c r="E65" s="88">
        <f t="shared" si="9"/>
        <v>5.6871498681006112E-2</v>
      </c>
      <c r="F65" s="88">
        <f t="shared" si="9"/>
        <v>0.17016813254058388</v>
      </c>
      <c r="G65" s="88">
        <f t="shared" si="9"/>
        <v>1.4700877357186674E-2</v>
      </c>
      <c r="H65" s="88">
        <f t="shared" si="9"/>
        <v>0.72042126675795992</v>
      </c>
      <c r="I65" s="88">
        <f t="shared" si="9"/>
        <v>9.8544829586403801E-2</v>
      </c>
      <c r="J65" s="88">
        <f t="shared" si="9"/>
        <v>0.13484139729750144</v>
      </c>
      <c r="K65" s="88"/>
    </row>
    <row r="66" spans="1:11">
      <c r="A66" s="47" t="s">
        <v>397</v>
      </c>
      <c r="B66" s="88">
        <f>B65+B63</f>
        <v>0.75888153091145683</v>
      </c>
      <c r="C66" s="88">
        <f t="shared" ref="C66:J66" si="10">C65+C63</f>
        <v>0.35872466728833258</v>
      </c>
      <c r="D66" s="88">
        <f t="shared" si="10"/>
        <v>9.2453447466383717E-2</v>
      </c>
      <c r="E66" s="88">
        <f t="shared" si="10"/>
        <v>0.10912639120510088</v>
      </c>
      <c r="F66" s="88">
        <f t="shared" si="10"/>
        <v>0.32652268065633294</v>
      </c>
      <c r="G66" s="88">
        <f t="shared" si="10"/>
        <v>2.8208394903339335E-2</v>
      </c>
      <c r="H66" s="88">
        <f t="shared" si="10"/>
        <v>1.3823615486145067</v>
      </c>
      <c r="I66" s="88">
        <f t="shared" si="10"/>
        <v>0.18909017476406789</v>
      </c>
      <c r="J66" s="88">
        <f t="shared" si="10"/>
        <v>0.25873689657213123</v>
      </c>
      <c r="K66" s="88">
        <f>AVERAGE(B66:J66)</f>
        <v>0.38934508137573909</v>
      </c>
    </row>
    <row r="67" spans="1:11">
      <c r="A67" s="47"/>
    </row>
    <row r="68" spans="1:11">
      <c r="A68" s="215" t="s">
        <v>398</v>
      </c>
    </row>
    <row r="69" spans="1:11">
      <c r="A69" s="47" t="s">
        <v>399</v>
      </c>
      <c r="B69" s="88">
        <f>E9/1000000</f>
        <v>0.18010483401281305</v>
      </c>
    </row>
    <row r="70" spans="1:11">
      <c r="A70" s="47" t="s">
        <v>400</v>
      </c>
      <c r="B70" s="88">
        <v>43.3</v>
      </c>
    </row>
    <row r="71" spans="1:11">
      <c r="A71" s="47" t="s">
        <v>401</v>
      </c>
      <c r="B71" s="88">
        <f>B70-B69</f>
        <v>43.119895165987181</v>
      </c>
    </row>
    <row r="72" spans="1:11">
      <c r="A72" s="47" t="s">
        <v>402</v>
      </c>
      <c r="B72" s="88">
        <v>2.8000000000000001E-2</v>
      </c>
    </row>
    <row r="73" spans="1:11">
      <c r="A73" s="47" t="s">
        <v>403</v>
      </c>
      <c r="B73" s="88">
        <f>B72/B71</f>
        <v>6.4935222806585815E-4</v>
      </c>
    </row>
    <row r="74" spans="1:11">
      <c r="A74" s="47" t="s">
        <v>404</v>
      </c>
      <c r="B74" s="88">
        <v>1.3</v>
      </c>
    </row>
    <row r="75" spans="1:11">
      <c r="A75" s="47" t="s">
        <v>405</v>
      </c>
      <c r="B75" s="88">
        <f>B74/B72</f>
        <v>46.428571428571431</v>
      </c>
    </row>
    <row r="76" spans="1:11">
      <c r="A76" s="47" t="s">
        <v>406</v>
      </c>
      <c r="B76" s="88">
        <f>B73*B69</f>
        <v>1.169514752516517E-4</v>
      </c>
    </row>
    <row r="77" spans="1:11">
      <c r="A77" s="47" t="s">
        <v>407</v>
      </c>
      <c r="B77" s="88">
        <f>B76*B75</f>
        <v>5.4298899223981147E-3</v>
      </c>
    </row>
    <row r="78" spans="1:11">
      <c r="A78" s="47"/>
      <c r="B78" s="88"/>
    </row>
    <row r="79" spans="1:11">
      <c r="A79" s="215" t="s">
        <v>408</v>
      </c>
      <c r="B79" s="88"/>
    </row>
    <row r="80" spans="1:11">
      <c r="A80" s="47" t="s">
        <v>406</v>
      </c>
      <c r="B80" s="88">
        <f>B76</f>
        <v>1.169514752516517E-4</v>
      </c>
    </row>
    <row r="81" spans="1:2" ht="28">
      <c r="A81" s="47" t="s">
        <v>409</v>
      </c>
      <c r="B81" s="88">
        <f>0.2+((0.2/1.9)*0.6)</f>
        <v>0.26315789473684215</v>
      </c>
    </row>
    <row r="82" spans="1:2">
      <c r="A82" s="47" t="s">
        <v>405</v>
      </c>
      <c r="B82" s="88">
        <f>B81/B72</f>
        <v>9.3984962406015047</v>
      </c>
    </row>
    <row r="83" spans="1:2">
      <c r="A83" s="47" t="s">
        <v>404</v>
      </c>
      <c r="B83" s="88">
        <f>B82*B80</f>
        <v>1.0991680004854485E-3</v>
      </c>
    </row>
    <row r="84" spans="1:2">
      <c r="A84" s="47"/>
      <c r="B84" s="88"/>
    </row>
    <row r="85" spans="1:2">
      <c r="A85" s="50" t="s">
        <v>410</v>
      </c>
      <c r="B85" s="88">
        <f>B26+B34+B41+B49+K66+B77+B83+30.5+17.52+23.17</f>
        <v>90.400224793910553</v>
      </c>
    </row>
  </sheetData>
  <hyperlinks>
    <hyperlink ref="A1" location="'T-42 Alaska'!A1" display="Table T-42: Alaska, omitted flux estimates"/>
  </hyperlinks>
  <pageMargins left="0.7" right="0.7" top="0.75" bottom="0.75" header="0.3" footer="0.3"/>
  <pageSetup orientation="portrait" horizontalDpi="300" verticalDpi="30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E46"/>
  <sheetViews>
    <sheetView workbookViewId="0">
      <selection activeCell="A5" sqref="A5"/>
    </sheetView>
  </sheetViews>
  <sheetFormatPr defaultColWidth="8.81640625" defaultRowHeight="14"/>
  <cols>
    <col min="1" max="1" width="51.6328125" style="46" customWidth="1"/>
    <col min="2" max="2" width="12" style="46" customWidth="1"/>
    <col min="3" max="3" width="15.81640625" style="46" customWidth="1"/>
    <col min="4" max="4" width="15.6328125" style="46" customWidth="1"/>
    <col min="5" max="5" width="10" style="46" customWidth="1"/>
    <col min="6" max="6" width="8.81640625" style="46"/>
    <col min="7" max="7" width="12.36328125" style="46" customWidth="1"/>
    <col min="8" max="16384" width="8.81640625" style="46"/>
  </cols>
  <sheetData>
    <row r="1" spans="1:3">
      <c r="A1" s="214" t="s">
        <v>596</v>
      </c>
    </row>
    <row r="3" spans="1:3">
      <c r="A3" s="49" t="s">
        <v>438</v>
      </c>
    </row>
    <row r="4" spans="1:3">
      <c r="B4" s="49" t="s">
        <v>437</v>
      </c>
      <c r="C4" s="49" t="s">
        <v>411</v>
      </c>
    </row>
    <row r="5" spans="1:3">
      <c r="A5" s="46" t="s">
        <v>350</v>
      </c>
      <c r="B5" s="88">
        <v>797105.82524271857</v>
      </c>
      <c r="C5" s="88">
        <f>B5/1000000</f>
        <v>0.79710582524271856</v>
      </c>
    </row>
    <row r="6" spans="1:3">
      <c r="A6" s="46" t="s">
        <v>66</v>
      </c>
      <c r="B6" s="88">
        <v>95117.437404190088</v>
      </c>
      <c r="C6" s="88">
        <f t="shared" ref="C6:C10" si="0">B6/1000000</f>
        <v>9.5117437404190083E-2</v>
      </c>
    </row>
    <row r="7" spans="1:3">
      <c r="A7" s="46" t="s">
        <v>64</v>
      </c>
      <c r="B7" s="88">
        <v>1279564.6142054168</v>
      </c>
      <c r="C7" s="88">
        <f t="shared" si="0"/>
        <v>1.2795646142054167</v>
      </c>
    </row>
    <row r="8" spans="1:3">
      <c r="A8" s="46" t="s">
        <v>351</v>
      </c>
      <c r="B8" s="88">
        <v>9764.9080224833961</v>
      </c>
      <c r="C8" s="88">
        <f t="shared" si="0"/>
        <v>9.7649080224833963E-3</v>
      </c>
    </row>
    <row r="9" spans="1:3">
      <c r="A9" s="46" t="s">
        <v>352</v>
      </c>
      <c r="B9" s="88">
        <v>243399.37404190091</v>
      </c>
      <c r="C9" s="88">
        <f t="shared" si="0"/>
        <v>0.2433993740419009</v>
      </c>
    </row>
    <row r="10" spans="1:3">
      <c r="A10" s="46" t="s">
        <v>353</v>
      </c>
      <c r="B10" s="88">
        <v>406147.84108329081</v>
      </c>
      <c r="C10" s="88">
        <f t="shared" si="0"/>
        <v>0.40614784108329083</v>
      </c>
    </row>
    <row r="11" spans="1:3">
      <c r="B11" s="46">
        <v>2831100.0000000005</v>
      </c>
    </row>
    <row r="13" spans="1:3">
      <c r="A13" s="215" t="s">
        <v>355</v>
      </c>
    </row>
    <row r="14" spans="1:3" ht="42">
      <c r="A14" s="47" t="s">
        <v>356</v>
      </c>
      <c r="B14" s="88">
        <f>7.9+1.7+5.4+22.8+60.3</f>
        <v>98.1</v>
      </c>
    </row>
    <row r="15" spans="1:3">
      <c r="A15" s="47" t="s">
        <v>357</v>
      </c>
      <c r="B15" s="88">
        <f>B14/158.4</f>
        <v>0.61931818181818177</v>
      </c>
    </row>
    <row r="16" spans="1:3" ht="28">
      <c r="A16" s="47" t="s">
        <v>358</v>
      </c>
      <c r="B16" s="88">
        <f>0.1+0.6+19.3+29.7</f>
        <v>49.7</v>
      </c>
    </row>
    <row r="17" spans="1:3">
      <c r="A17" s="47" t="s">
        <v>359</v>
      </c>
      <c r="B17" s="88">
        <f>B16/63.4</f>
        <v>0.78391167192429023</v>
      </c>
    </row>
    <row r="18" spans="1:3" ht="28">
      <c r="A18" s="47" t="s">
        <v>360</v>
      </c>
      <c r="B18" s="88">
        <f>B15*31.6</f>
        <v>19.570454545454545</v>
      </c>
    </row>
    <row r="19" spans="1:3" ht="28">
      <c r="A19" s="47" t="s">
        <v>361</v>
      </c>
      <c r="B19" s="88">
        <f>B17*7.2</f>
        <v>5.6441640378548898</v>
      </c>
    </row>
    <row r="20" spans="1:3">
      <c r="A20" s="47" t="s">
        <v>362</v>
      </c>
      <c r="B20" s="88">
        <f>B18+B14+B16+B19</f>
        <v>173.01461858330944</v>
      </c>
    </row>
    <row r="21" spans="1:3">
      <c r="A21" s="47" t="s">
        <v>363</v>
      </c>
      <c r="B21" s="88">
        <v>406.59</v>
      </c>
    </row>
    <row r="22" spans="1:3">
      <c r="A22" s="47" t="s">
        <v>364</v>
      </c>
      <c r="B22" s="88">
        <f>B20/B21</f>
        <v>0.42552600551737491</v>
      </c>
    </row>
    <row r="23" spans="1:3">
      <c r="A23" s="47" t="s">
        <v>412</v>
      </c>
      <c r="B23" s="88">
        <f>C6+C7</f>
        <v>1.3746820516096068</v>
      </c>
    </row>
    <row r="24" spans="1:3">
      <c r="A24" s="47" t="s">
        <v>366</v>
      </c>
      <c r="B24" s="88">
        <f>B23*B22</f>
        <v>0.58496296227786582</v>
      </c>
    </row>
    <row r="25" spans="1:3">
      <c r="A25" s="47"/>
    </row>
    <row r="26" spans="1:3">
      <c r="A26" s="215" t="s">
        <v>413</v>
      </c>
    </row>
    <row r="27" spans="1:3">
      <c r="A27" s="47"/>
      <c r="B27" s="46" t="s">
        <v>414</v>
      </c>
      <c r="C27" s="46" t="s">
        <v>124</v>
      </c>
    </row>
    <row r="28" spans="1:3">
      <c r="A28" s="47" t="s">
        <v>415</v>
      </c>
      <c r="B28" s="88">
        <v>0.09</v>
      </c>
      <c r="C28" s="88">
        <f>B28*(44/12)</f>
        <v>0.32999999999999996</v>
      </c>
    </row>
    <row r="29" spans="1:3">
      <c r="A29" s="47" t="s">
        <v>416</v>
      </c>
      <c r="B29" s="88">
        <v>0.11</v>
      </c>
      <c r="C29" s="88">
        <f t="shared" ref="C29:C31" si="1">B29*(44/12)</f>
        <v>0.40333333333333332</v>
      </c>
    </row>
    <row r="30" spans="1:3">
      <c r="A30" s="47" t="s">
        <v>417</v>
      </c>
      <c r="B30" s="88">
        <v>1.17</v>
      </c>
      <c r="C30" s="88">
        <f t="shared" si="1"/>
        <v>4.2899999999999991</v>
      </c>
    </row>
    <row r="31" spans="1:3">
      <c r="A31" s="47" t="s">
        <v>418</v>
      </c>
      <c r="B31" s="88">
        <v>0.5</v>
      </c>
      <c r="C31" s="88">
        <f t="shared" si="1"/>
        <v>1.8333333333333333</v>
      </c>
    </row>
    <row r="32" spans="1:3">
      <c r="A32" s="47"/>
      <c r="B32" s="88"/>
      <c r="C32" s="88">
        <f>SUM(C28:C31)</f>
        <v>6.8566666666666656</v>
      </c>
    </row>
    <row r="33" spans="1:5">
      <c r="A33" s="47"/>
    </row>
    <row r="34" spans="1:5" ht="28">
      <c r="A34" s="215" t="s">
        <v>419</v>
      </c>
      <c r="C34" s="46" t="s">
        <v>420</v>
      </c>
      <c r="D34" s="46" t="s">
        <v>421</v>
      </c>
    </row>
    <row r="35" spans="1:5" ht="28">
      <c r="A35" s="47" t="s">
        <v>422</v>
      </c>
      <c r="B35" s="88">
        <v>144</v>
      </c>
      <c r="C35" s="88">
        <f>B35*2/100</f>
        <v>2.88</v>
      </c>
      <c r="D35" s="88">
        <f>C35/1000000</f>
        <v>2.88E-6</v>
      </c>
    </row>
    <row r="36" spans="1:5" ht="28">
      <c r="A36" s="47" t="s">
        <v>423</v>
      </c>
      <c r="B36" s="88">
        <v>3349</v>
      </c>
      <c r="C36" s="88">
        <f>B36*2/100</f>
        <v>66.98</v>
      </c>
      <c r="D36" s="88">
        <f t="shared" ref="D36:D37" si="2">C36/1000000</f>
        <v>6.6979999999999999E-5</v>
      </c>
    </row>
    <row r="37" spans="1:5" ht="28">
      <c r="A37" s="47" t="s">
        <v>424</v>
      </c>
      <c r="B37" s="88">
        <v>1615</v>
      </c>
      <c r="C37" s="88">
        <f>B37*2/100</f>
        <v>32.299999999999997</v>
      </c>
      <c r="D37" s="88">
        <f t="shared" si="2"/>
        <v>3.2299999999999999E-5</v>
      </c>
    </row>
    <row r="38" spans="1:5" ht="28">
      <c r="A38" s="47" t="s">
        <v>425</v>
      </c>
      <c r="B38" s="88">
        <v>2.2999999999999998</v>
      </c>
      <c r="C38" s="88"/>
      <c r="D38" s="88"/>
    </row>
    <row r="39" spans="1:5">
      <c r="A39" s="47" t="s">
        <v>426</v>
      </c>
      <c r="B39" s="88">
        <v>0.21</v>
      </c>
      <c r="C39" s="88"/>
      <c r="D39" s="88"/>
    </row>
    <row r="40" spans="1:5">
      <c r="A40" s="47" t="s">
        <v>427</v>
      </c>
      <c r="B40" s="46" t="s">
        <v>428</v>
      </c>
      <c r="C40" s="46" t="s">
        <v>429</v>
      </c>
      <c r="D40" s="46" t="s">
        <v>430</v>
      </c>
    </row>
    <row r="41" spans="1:5">
      <c r="A41" s="47"/>
      <c r="B41" s="88">
        <v>36.200000000000003</v>
      </c>
      <c r="C41" s="88">
        <v>9</v>
      </c>
      <c r="D41" s="88">
        <v>5.0999999999999996</v>
      </c>
      <c r="E41" s="88">
        <f>SUM(B41:D41)/1000000</f>
        <v>5.0300000000000003E-5</v>
      </c>
    </row>
    <row r="42" spans="1:5">
      <c r="A42" s="47" t="s">
        <v>431</v>
      </c>
      <c r="B42" s="88">
        <f>B41*C35*1000*$B$38/1000000000000*25</f>
        <v>5.9947200000000001E-6</v>
      </c>
      <c r="C42" s="88">
        <f>C41*C36*1000*$B$38/1000000000000*25</f>
        <v>3.4662149999999998E-5</v>
      </c>
      <c r="D42" s="88">
        <f>D41*C37*1000*$B$38/1000000000000*25</f>
        <v>9.4719749999999967E-6</v>
      </c>
      <c r="E42" s="88"/>
    </row>
    <row r="43" spans="1:5">
      <c r="A43" s="47" t="s">
        <v>432</v>
      </c>
      <c r="B43" s="88">
        <f>B41*C35*1000*$B$39/1000000000000*298</f>
        <v>6.524340479999999E-6</v>
      </c>
      <c r="C43" s="88">
        <f>C41*C36*1000*$B$39/1000000000000*298</f>
        <v>3.7724475599999996E-5</v>
      </c>
      <c r="D43" s="88">
        <f>D41*C37*1000*$B$39/1000000000000*298</f>
        <v>1.0308803399999998E-5</v>
      </c>
      <c r="E43" s="88"/>
    </row>
    <row r="44" spans="1:5">
      <c r="A44" s="47" t="s">
        <v>15</v>
      </c>
      <c r="B44" s="88">
        <f>SUM(B42:B43)</f>
        <v>1.2519060479999999E-5</v>
      </c>
      <c r="C44" s="88">
        <f t="shared" ref="C44:D44" si="3">SUM(C42:C43)</f>
        <v>7.2386625599999994E-5</v>
      </c>
      <c r="D44" s="88">
        <f t="shared" si="3"/>
        <v>1.9780778399999995E-5</v>
      </c>
      <c r="E44" s="88">
        <f>SUM(B44:D44)</f>
        <v>1.0468646447999999E-4</v>
      </c>
    </row>
    <row r="45" spans="1:5">
      <c r="B45" s="88"/>
      <c r="C45" s="88"/>
      <c r="D45" s="88"/>
      <c r="E45" s="88"/>
    </row>
    <row r="46" spans="1:5">
      <c r="A46" s="50" t="s">
        <v>436</v>
      </c>
      <c r="B46" s="88">
        <f>E44+C32+B24</f>
        <v>7.4417343154090112</v>
      </c>
      <c r="C46" s="88"/>
      <c r="D46" s="88"/>
      <c r="E46" s="88"/>
    </row>
  </sheetData>
  <hyperlinks>
    <hyperlink ref="A1" location="'T-43 Hawaii'!A1" display="Table T-43: Hawaii, omitted flux estimates"/>
  </hyperlinks>
  <pageMargins left="0.7" right="0.7" top="0.75" bottom="0.75" header="0.3" footer="0.3"/>
  <pageSetup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21"/>
  <sheetViews>
    <sheetView workbookViewId="0"/>
  </sheetViews>
  <sheetFormatPr defaultColWidth="10.81640625" defaultRowHeight="14"/>
  <cols>
    <col min="1" max="1" width="41.453125" style="46" customWidth="1"/>
    <col min="2" max="2" width="14.1796875" style="46" customWidth="1"/>
    <col min="3" max="16384" width="10.81640625" style="46"/>
  </cols>
  <sheetData>
    <row r="1" spans="1:12" ht="14.5" thickBot="1">
      <c r="A1" s="61" t="s">
        <v>577</v>
      </c>
      <c r="B1" s="56"/>
    </row>
    <row r="3" spans="1:12" ht="14.5" thickBot="1">
      <c r="A3" s="61" t="s">
        <v>507</v>
      </c>
      <c r="B3" s="61"/>
      <c r="C3" s="56"/>
      <c r="D3" s="56"/>
      <c r="E3" s="56"/>
      <c r="F3" s="56"/>
      <c r="G3" s="56"/>
      <c r="H3" s="56"/>
      <c r="I3" s="56"/>
      <c r="J3" s="57"/>
      <c r="K3" s="57"/>
      <c r="L3" s="57"/>
    </row>
    <row r="4" spans="1:12">
      <c r="A4" s="65" t="s">
        <v>514</v>
      </c>
      <c r="B4" s="56"/>
      <c r="C4" s="56"/>
      <c r="D4" s="56"/>
      <c r="E4" s="56"/>
      <c r="F4" s="56"/>
      <c r="G4" s="56"/>
      <c r="H4" s="56"/>
      <c r="I4" s="56"/>
      <c r="J4" s="57"/>
      <c r="K4" s="57"/>
      <c r="L4" s="57"/>
    </row>
    <row r="5" spans="1:12">
      <c r="A5" s="65" t="s">
        <v>506</v>
      </c>
      <c r="B5" s="56"/>
      <c r="C5" s="56"/>
      <c r="D5" s="56"/>
      <c r="E5" s="56"/>
      <c r="F5" s="56"/>
      <c r="G5" s="56"/>
      <c r="H5" s="56"/>
      <c r="I5" s="56"/>
      <c r="J5" s="57"/>
      <c r="K5" s="57"/>
      <c r="L5" s="57"/>
    </row>
    <row r="6" spans="1:12">
      <c r="A6" s="60"/>
      <c r="B6" s="56"/>
      <c r="C6" s="56"/>
      <c r="D6" s="56"/>
      <c r="E6" s="56"/>
      <c r="F6" s="56"/>
      <c r="G6" s="56"/>
      <c r="H6" s="56"/>
      <c r="I6" s="56"/>
      <c r="J6" s="57"/>
      <c r="K6" s="57"/>
      <c r="L6" s="57"/>
    </row>
    <row r="7" spans="1:12">
      <c r="A7" s="57" t="s">
        <v>508</v>
      </c>
      <c r="B7" s="46">
        <v>-0.285335797317818</v>
      </c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2">
      <c r="A8" s="57" t="s">
        <v>509</v>
      </c>
      <c r="B8" s="46">
        <v>2.2215229690019701E-2</v>
      </c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2">
      <c r="A9" s="57" t="s">
        <v>510</v>
      </c>
      <c r="B9" s="46">
        <v>-0.58191369939528703</v>
      </c>
      <c r="C9" s="51" t="s">
        <v>501</v>
      </c>
      <c r="D9" s="57"/>
      <c r="E9" s="57"/>
      <c r="F9" s="57"/>
      <c r="G9" s="57"/>
      <c r="H9" s="57"/>
      <c r="I9" s="57"/>
      <c r="J9" s="57"/>
      <c r="K9" s="57"/>
      <c r="L9" s="57"/>
    </row>
    <row r="10" spans="1:12">
      <c r="A10" s="57" t="s">
        <v>511</v>
      </c>
      <c r="B10" s="46">
        <v>6.0666499621944304E-3</v>
      </c>
      <c r="C10" s="51" t="s">
        <v>502</v>
      </c>
      <c r="D10" s="57"/>
      <c r="E10" s="57"/>
      <c r="F10" s="57"/>
      <c r="G10" s="57"/>
      <c r="H10" s="57"/>
      <c r="I10" s="57"/>
      <c r="J10" s="57"/>
      <c r="K10" s="57"/>
      <c r="L10" s="57"/>
    </row>
    <row r="11" spans="1:12">
      <c r="A11" s="46" t="s">
        <v>522</v>
      </c>
      <c r="B11" s="46">
        <v>-103.939955962529</v>
      </c>
      <c r="D11" s="58"/>
      <c r="E11" s="58"/>
      <c r="G11" s="58"/>
      <c r="H11" s="57"/>
      <c r="I11" s="57"/>
      <c r="J11" s="57"/>
      <c r="K11" s="57"/>
      <c r="L11" s="57"/>
    </row>
    <row r="12" spans="1:12">
      <c r="A12" s="46" t="s">
        <v>523</v>
      </c>
      <c r="B12" s="46">
        <v>102.126144009697</v>
      </c>
      <c r="C12" s="58"/>
      <c r="D12" s="58"/>
      <c r="G12" s="58"/>
      <c r="H12" s="57"/>
      <c r="I12" s="57"/>
      <c r="J12" s="57"/>
      <c r="K12" s="57"/>
      <c r="L12" s="57"/>
    </row>
    <row r="13" spans="1:12">
      <c r="A13" s="57"/>
      <c r="B13" s="57"/>
      <c r="C13" s="58"/>
      <c r="D13" s="58"/>
      <c r="F13" s="58"/>
      <c r="G13" s="58"/>
      <c r="H13" s="57"/>
      <c r="I13" s="57"/>
      <c r="J13" s="57"/>
      <c r="K13" s="57"/>
      <c r="L13" s="57"/>
    </row>
    <row r="14" spans="1:12">
      <c r="A14" s="57"/>
      <c r="B14" s="57"/>
      <c r="C14" s="58"/>
      <c r="D14" s="58"/>
      <c r="E14" s="58"/>
      <c r="F14" s="58"/>
      <c r="G14" s="58"/>
      <c r="H14" s="57"/>
      <c r="I14" s="57"/>
      <c r="J14" s="57"/>
      <c r="K14" s="57"/>
      <c r="L14" s="57"/>
    </row>
    <row r="15" spans="1:12" ht="14.5" thickBot="1">
      <c r="A15" s="62" t="s">
        <v>458</v>
      </c>
      <c r="B15" s="63"/>
      <c r="C15" s="58"/>
      <c r="D15" s="58"/>
      <c r="E15" s="58"/>
      <c r="F15" s="58"/>
      <c r="G15" s="58"/>
      <c r="H15" s="57"/>
      <c r="I15" s="57"/>
      <c r="J15" s="57"/>
      <c r="K15" s="57"/>
      <c r="L15" s="57"/>
    </row>
    <row r="16" spans="1:12" ht="28">
      <c r="A16" s="59" t="s">
        <v>512</v>
      </c>
      <c r="B16" s="57">
        <v>-16.100000000000001</v>
      </c>
      <c r="C16" s="64" t="s">
        <v>459</v>
      </c>
      <c r="D16" s="58"/>
      <c r="E16" s="58"/>
      <c r="F16" s="58"/>
      <c r="G16" s="58"/>
      <c r="H16" s="57"/>
      <c r="I16" s="57"/>
      <c r="J16" s="57"/>
      <c r="K16" s="57"/>
      <c r="L16" s="57"/>
    </row>
    <row r="17" spans="1:12">
      <c r="A17" s="47" t="s">
        <v>525</v>
      </c>
      <c r="B17" s="57">
        <f>ABS((B11/100)*B16)</f>
        <v>16.734332909967172</v>
      </c>
      <c r="C17" s="58"/>
      <c r="D17" s="58"/>
      <c r="E17" s="58"/>
      <c r="F17" s="58"/>
      <c r="G17" s="58"/>
      <c r="H17" s="57"/>
      <c r="I17" s="57"/>
      <c r="J17" s="57"/>
      <c r="K17" s="57"/>
      <c r="L17" s="57"/>
    </row>
    <row r="18" spans="1:12">
      <c r="A18" s="47" t="s">
        <v>524</v>
      </c>
      <c r="B18" s="57">
        <f>ABS((B12/100)*B16)</f>
        <v>16.442309185561218</v>
      </c>
      <c r="D18" s="58"/>
      <c r="E18" s="58"/>
      <c r="F18" s="58"/>
      <c r="G18" s="58"/>
      <c r="H18" s="57"/>
      <c r="I18" s="57"/>
      <c r="J18" s="57"/>
      <c r="K18" s="57"/>
      <c r="L18" s="57"/>
    </row>
    <row r="19" spans="1:12">
      <c r="A19" s="46" t="s">
        <v>510</v>
      </c>
      <c r="B19" s="57">
        <f>B16-B17</f>
        <v>-32.834332909967173</v>
      </c>
      <c r="C19" s="51" t="s">
        <v>501</v>
      </c>
      <c r="D19" s="58"/>
      <c r="E19" s="57"/>
      <c r="F19" s="57"/>
      <c r="G19" s="58"/>
      <c r="H19" s="57"/>
      <c r="I19" s="57"/>
      <c r="J19" s="57"/>
      <c r="K19" s="57"/>
      <c r="L19" s="57"/>
    </row>
    <row r="20" spans="1:12">
      <c r="A20" s="46" t="s">
        <v>511</v>
      </c>
      <c r="B20" s="57">
        <f>B16+B18</f>
        <v>0.34230918556121637</v>
      </c>
      <c r="C20" s="51" t="s">
        <v>502</v>
      </c>
      <c r="D20" s="57"/>
      <c r="E20" s="57"/>
      <c r="F20" s="57"/>
      <c r="G20" s="57"/>
      <c r="H20" s="57"/>
      <c r="I20" s="57"/>
      <c r="J20" s="57"/>
      <c r="K20" s="57"/>
      <c r="L20" s="57"/>
    </row>
    <row r="21" spans="1:12">
      <c r="A21" s="46" t="s">
        <v>513</v>
      </c>
      <c r="B21" s="46">
        <f>B20-B19</f>
        <v>33.176642095528393</v>
      </c>
    </row>
  </sheetData>
  <hyperlinks>
    <hyperlink ref="A1" location="'Forest litter'!A1" display="Forest litter carbon stock change, uncertainty attribution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21"/>
  <sheetViews>
    <sheetView workbookViewId="0"/>
  </sheetViews>
  <sheetFormatPr defaultColWidth="10.81640625" defaultRowHeight="14"/>
  <cols>
    <col min="1" max="1" width="40.1796875" style="46" customWidth="1"/>
    <col min="2" max="16384" width="10.81640625" style="46"/>
  </cols>
  <sheetData>
    <row r="1" spans="1:12" ht="14.5" thickBot="1">
      <c r="A1" s="45" t="s">
        <v>578</v>
      </c>
      <c r="B1" s="49"/>
    </row>
    <row r="3" spans="1:12" ht="14.5" thickBot="1">
      <c r="A3" s="45" t="s">
        <v>521</v>
      </c>
      <c r="B3" s="45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>
      <c r="A4" s="46" t="s">
        <v>515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>
      <c r="A5" s="65" t="s">
        <v>506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>
      <c r="A7" s="46" t="s">
        <v>516</v>
      </c>
      <c r="B7" s="46">
        <v>-2.4227868548810498</v>
      </c>
    </row>
    <row r="8" spans="1:12">
      <c r="A8" s="46" t="s">
        <v>509</v>
      </c>
      <c r="B8" s="46">
        <v>1.35165923149996</v>
      </c>
    </row>
    <row r="9" spans="1:12">
      <c r="A9" s="46" t="s">
        <v>510</v>
      </c>
      <c r="B9" s="46">
        <v>-4.7106198239250601</v>
      </c>
      <c r="C9" s="51" t="s">
        <v>501</v>
      </c>
    </row>
    <row r="10" spans="1:12">
      <c r="A10" s="46" t="s">
        <v>511</v>
      </c>
      <c r="B10" s="46">
        <v>-0.13194886694386901</v>
      </c>
      <c r="C10" s="51" t="s">
        <v>502</v>
      </c>
    </row>
    <row r="11" spans="1:12">
      <c r="A11" s="46" t="s">
        <v>522</v>
      </c>
      <c r="B11" s="46">
        <v>-94.429807741231897</v>
      </c>
      <c r="C11" s="51"/>
      <c r="D11" s="51"/>
      <c r="E11" s="51"/>
      <c r="F11" s="51"/>
      <c r="G11" s="51"/>
    </row>
    <row r="12" spans="1:12">
      <c r="A12" s="46" t="s">
        <v>523</v>
      </c>
      <c r="B12" s="46">
        <v>94.553839241861496</v>
      </c>
      <c r="C12" s="51"/>
      <c r="D12" s="51"/>
      <c r="E12" s="51"/>
      <c r="F12" s="51"/>
      <c r="G12" s="51"/>
    </row>
    <row r="13" spans="1:12">
      <c r="C13" s="51"/>
      <c r="D13" s="51"/>
      <c r="E13" s="51"/>
      <c r="F13" s="51"/>
      <c r="G13" s="51"/>
    </row>
    <row r="14" spans="1:12">
      <c r="C14" s="51"/>
      <c r="D14" s="51"/>
      <c r="E14" s="51"/>
      <c r="F14" s="51"/>
      <c r="G14" s="51"/>
    </row>
    <row r="15" spans="1:12" ht="14.5" thickBot="1">
      <c r="A15" s="53" t="s">
        <v>458</v>
      </c>
      <c r="B15" s="54"/>
      <c r="C15" s="51"/>
      <c r="D15" s="51"/>
      <c r="E15" s="51"/>
      <c r="F15" s="51"/>
      <c r="G15" s="51"/>
    </row>
    <row r="16" spans="1:12" ht="28">
      <c r="A16" s="47" t="s">
        <v>517</v>
      </c>
      <c r="B16" s="46">
        <v>-135.30000000000001</v>
      </c>
      <c r="C16" s="66" t="s">
        <v>459</v>
      </c>
      <c r="D16" s="51"/>
      <c r="E16" s="51"/>
      <c r="F16" s="51"/>
      <c r="G16" s="51"/>
    </row>
    <row r="17" spans="1:7">
      <c r="A17" s="47" t="s">
        <v>525</v>
      </c>
      <c r="B17" s="46">
        <f>ABS((B11/100)*B16)</f>
        <v>127.76352987388677</v>
      </c>
      <c r="C17" s="66"/>
      <c r="D17" s="51"/>
      <c r="E17" s="51"/>
      <c r="F17" s="51"/>
      <c r="G17" s="51"/>
    </row>
    <row r="18" spans="1:7">
      <c r="A18" s="47" t="s">
        <v>524</v>
      </c>
      <c r="B18" s="46">
        <f>ABS((B12/100)*B16)</f>
        <v>127.93134449423862</v>
      </c>
      <c r="C18" s="66"/>
      <c r="D18" s="51"/>
      <c r="E18" s="51"/>
      <c r="F18" s="51"/>
      <c r="G18" s="51"/>
    </row>
    <row r="19" spans="1:7">
      <c r="A19" s="46" t="s">
        <v>510</v>
      </c>
      <c r="B19" s="46">
        <f>B16-B17</f>
        <v>-263.06352987388675</v>
      </c>
      <c r="C19" s="51" t="s">
        <v>501</v>
      </c>
      <c r="D19" s="51"/>
      <c r="E19" s="51"/>
      <c r="F19" s="51"/>
      <c r="G19" s="51"/>
    </row>
    <row r="20" spans="1:7">
      <c r="A20" s="46" t="s">
        <v>511</v>
      </c>
      <c r="B20" s="46">
        <f>B16+B18</f>
        <v>-7.3686555057613958</v>
      </c>
      <c r="C20" s="51" t="s">
        <v>502</v>
      </c>
      <c r="D20" s="51"/>
      <c r="E20" s="51"/>
      <c r="F20" s="51"/>
      <c r="G20" s="51"/>
    </row>
    <row r="21" spans="1:7">
      <c r="A21" s="46" t="s">
        <v>518</v>
      </c>
      <c r="B21" s="46">
        <f>B20-B19</f>
        <v>255.69487436812534</v>
      </c>
      <c r="D21" s="51"/>
      <c r="E21" s="51"/>
      <c r="F21" s="51"/>
      <c r="G21" s="51"/>
    </row>
  </sheetData>
  <hyperlinks>
    <hyperlink ref="A1" location="'Forest soil'!A1" display="Forest soil carbon stock change, uncertainty attribution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24"/>
  <sheetViews>
    <sheetView workbookViewId="0">
      <selection activeCell="A2" sqref="A2"/>
    </sheetView>
  </sheetViews>
  <sheetFormatPr defaultColWidth="9.1796875" defaultRowHeight="14"/>
  <cols>
    <col min="1" max="1" width="70.6328125" style="46" customWidth="1"/>
    <col min="2" max="3" width="13.453125" style="46" customWidth="1"/>
    <col min="4" max="5" width="11" style="46" customWidth="1"/>
    <col min="6" max="16384" width="9.1796875" style="46"/>
  </cols>
  <sheetData>
    <row r="1" spans="1:8">
      <c r="A1" s="236" t="s">
        <v>579</v>
      </c>
      <c r="B1" s="48"/>
      <c r="C1" s="48"/>
      <c r="D1" s="48"/>
      <c r="E1" s="48"/>
      <c r="F1" s="48"/>
      <c r="G1" s="48"/>
      <c r="H1" s="48"/>
    </row>
    <row r="2" spans="1:8">
      <c r="A2" s="67"/>
      <c r="B2" s="48"/>
      <c r="C2" s="48"/>
      <c r="D2" s="48"/>
      <c r="E2" s="48"/>
      <c r="F2" s="48"/>
      <c r="G2" s="48"/>
      <c r="H2" s="48"/>
    </row>
    <row r="3" spans="1:8">
      <c r="A3" s="67" t="s">
        <v>528</v>
      </c>
      <c r="B3" s="48"/>
      <c r="C3" s="48"/>
      <c r="D3" s="48"/>
      <c r="E3" s="48"/>
      <c r="F3" s="48"/>
      <c r="G3" s="48"/>
      <c r="H3" s="48"/>
    </row>
    <row r="4" spans="1:8" ht="27" customHeight="1" thickBot="1">
      <c r="A4" s="67"/>
      <c r="B4" s="70"/>
      <c r="C4" s="238" t="s">
        <v>0</v>
      </c>
      <c r="D4" s="238"/>
      <c r="E4" s="238"/>
      <c r="F4" s="70"/>
      <c r="G4" s="48"/>
      <c r="H4" s="48"/>
    </row>
    <row r="5" spans="1:8" ht="56">
      <c r="A5" s="80"/>
      <c r="B5" s="81" t="s">
        <v>1</v>
      </c>
      <c r="C5" s="81" t="s">
        <v>519</v>
      </c>
      <c r="D5" s="81" t="s">
        <v>520</v>
      </c>
      <c r="E5" s="81" t="s">
        <v>4</v>
      </c>
      <c r="F5" s="80"/>
      <c r="G5" s="69"/>
      <c r="H5" s="69"/>
    </row>
    <row r="6" spans="1:8">
      <c r="A6" s="82" t="s">
        <v>5</v>
      </c>
      <c r="B6" s="83">
        <v>7.2</v>
      </c>
      <c r="C6" s="83">
        <v>0.8</v>
      </c>
      <c r="D6" s="83">
        <v>26.1</v>
      </c>
      <c r="E6" s="83">
        <f>D6-C6</f>
        <v>25.3</v>
      </c>
      <c r="F6" s="70"/>
      <c r="G6" s="48"/>
      <c r="H6" s="48"/>
    </row>
    <row r="7" spans="1:8">
      <c r="A7" s="82" t="s">
        <v>6</v>
      </c>
      <c r="B7" s="83">
        <v>4.7</v>
      </c>
      <c r="C7" s="83">
        <v>0.8</v>
      </c>
      <c r="D7" s="83">
        <v>16.3</v>
      </c>
      <c r="E7" s="83">
        <f>D7-C7</f>
        <v>15.5</v>
      </c>
      <c r="F7" s="70"/>
      <c r="G7" s="48"/>
      <c r="H7" s="48"/>
    </row>
    <row r="8" spans="1:8">
      <c r="A8" s="84" t="s">
        <v>7</v>
      </c>
      <c r="B8" s="85">
        <v>11.9</v>
      </c>
      <c r="C8" s="85">
        <v>2</v>
      </c>
      <c r="D8" s="85">
        <v>41</v>
      </c>
      <c r="E8" s="85">
        <f>D8-C8</f>
        <v>39</v>
      </c>
      <c r="F8" s="70"/>
      <c r="G8" s="48"/>
      <c r="H8" s="48"/>
    </row>
    <row r="9" spans="1:8">
      <c r="A9" s="70"/>
      <c r="B9" s="70"/>
      <c r="C9" s="70"/>
      <c r="D9" s="70"/>
      <c r="E9" s="70"/>
      <c r="F9" s="70"/>
      <c r="G9" s="48"/>
      <c r="H9" s="48"/>
    </row>
    <row r="10" spans="1:8">
      <c r="A10" s="70"/>
      <c r="B10" s="70"/>
      <c r="C10" s="70"/>
      <c r="D10" s="70"/>
      <c r="E10" s="70"/>
      <c r="F10" s="70"/>
      <c r="G10" s="48"/>
      <c r="H10" s="48"/>
    </row>
    <row r="11" spans="1:8">
      <c r="B11" s="48"/>
      <c r="C11" s="48"/>
      <c r="D11" s="48"/>
      <c r="E11" s="48"/>
      <c r="F11" s="48"/>
      <c r="G11" s="48"/>
      <c r="H11" s="48"/>
    </row>
    <row r="12" spans="1:8">
      <c r="A12" s="48"/>
      <c r="B12" s="48"/>
      <c r="C12" s="48"/>
      <c r="D12" s="48"/>
      <c r="E12" s="48"/>
      <c r="F12" s="48"/>
      <c r="G12" s="48"/>
      <c r="H12" s="48"/>
    </row>
    <row r="13" spans="1:8">
      <c r="A13" s="68" t="s">
        <v>8</v>
      </c>
      <c r="B13" s="48"/>
      <c r="C13" s="48"/>
      <c r="D13" s="48"/>
      <c r="E13" s="48"/>
      <c r="F13" s="48"/>
      <c r="G13" s="48"/>
      <c r="H13" s="48"/>
    </row>
    <row r="14" spans="1:8" ht="56">
      <c r="A14" s="70"/>
      <c r="B14" s="49" t="s">
        <v>4</v>
      </c>
      <c r="C14" s="50" t="s">
        <v>557</v>
      </c>
      <c r="D14" s="50" t="s">
        <v>558</v>
      </c>
      <c r="E14" s="72" t="s">
        <v>9</v>
      </c>
      <c r="F14" s="48"/>
      <c r="G14" s="48"/>
    </row>
    <row r="15" spans="1:8">
      <c r="A15" s="67" t="s">
        <v>10</v>
      </c>
      <c r="B15" s="46">
        <v>38.799999999999997</v>
      </c>
      <c r="C15" s="55">
        <f>$E$8-B15</f>
        <v>0.20000000000000284</v>
      </c>
      <c r="D15" s="220">
        <f>C15/$C$20</f>
        <v>7.5471698113208597E-3</v>
      </c>
      <c r="E15" s="73">
        <f>ROUND(D15*$E$8,1)</f>
        <v>0.3</v>
      </c>
      <c r="F15" s="48"/>
      <c r="G15" s="48"/>
    </row>
    <row r="16" spans="1:8">
      <c r="A16" s="67" t="s">
        <v>11</v>
      </c>
      <c r="B16" s="46">
        <v>19.5</v>
      </c>
      <c r="C16" s="55">
        <f t="shared" ref="C16:C19" si="0">$E$8-B16</f>
        <v>19.5</v>
      </c>
      <c r="D16" s="220">
        <f t="shared" ref="D16:D19" si="1">C16/$C$20</f>
        <v>0.73584905660377342</v>
      </c>
      <c r="E16" s="73">
        <f>ROUND(D16*$E$8,1)</f>
        <v>28.7</v>
      </c>
      <c r="F16" s="48"/>
      <c r="G16" s="48"/>
    </row>
    <row r="17" spans="1:9">
      <c r="A17" s="67" t="s">
        <v>12</v>
      </c>
      <c r="B17" s="46">
        <v>36.5</v>
      </c>
      <c r="C17" s="55">
        <f t="shared" si="0"/>
        <v>2.5</v>
      </c>
      <c r="D17" s="220">
        <f t="shared" si="1"/>
        <v>9.4339622641509413E-2</v>
      </c>
      <c r="E17" s="73">
        <f>ROUND(D17*$E$8,1)</f>
        <v>3.7</v>
      </c>
      <c r="F17" s="48"/>
      <c r="G17" s="48"/>
    </row>
    <row r="18" spans="1:9">
      <c r="A18" s="67" t="s">
        <v>13</v>
      </c>
      <c r="B18" s="46">
        <v>38.799999999999997</v>
      </c>
      <c r="C18" s="55">
        <f t="shared" si="0"/>
        <v>0.20000000000000284</v>
      </c>
      <c r="D18" s="220">
        <f t="shared" si="1"/>
        <v>7.5471698113208597E-3</v>
      </c>
      <c r="E18" s="73">
        <f>ROUND(D18*$E$8,1)</f>
        <v>0.3</v>
      </c>
      <c r="F18" s="48"/>
      <c r="G18" s="48"/>
      <c r="H18" s="48"/>
    </row>
    <row r="19" spans="1:9">
      <c r="A19" s="67" t="s">
        <v>14</v>
      </c>
      <c r="B19" s="46">
        <v>34.9</v>
      </c>
      <c r="C19" s="55">
        <f t="shared" si="0"/>
        <v>4.1000000000000014</v>
      </c>
      <c r="D19" s="220">
        <f t="shared" si="1"/>
        <v>0.15471698113207549</v>
      </c>
      <c r="E19" s="73">
        <f>ROUND(D19*$E$8,1)</f>
        <v>6</v>
      </c>
      <c r="F19" s="48"/>
      <c r="G19" s="48"/>
      <c r="H19" s="48"/>
    </row>
    <row r="20" spans="1:9">
      <c r="A20" s="74" t="s">
        <v>15</v>
      </c>
      <c r="C20" s="55">
        <f>SUM(C15:C19)</f>
        <v>26.500000000000007</v>
      </c>
      <c r="D20" s="46">
        <f>SUM(D15:D19)</f>
        <v>1</v>
      </c>
      <c r="E20" s="75">
        <f>SUM(E15:E19)</f>
        <v>39</v>
      </c>
      <c r="F20" s="48"/>
      <c r="G20" s="48"/>
      <c r="H20" s="48"/>
    </row>
    <row r="21" spans="1:9" ht="14.5">
      <c r="A21" s="76"/>
      <c r="B21" s="76"/>
      <c r="C21" s="77"/>
      <c r="D21" s="48"/>
      <c r="E21" s="48"/>
      <c r="F21" s="48"/>
      <c r="G21" s="48"/>
      <c r="H21" s="48"/>
      <c r="I21" s="48"/>
    </row>
    <row r="22" spans="1:9">
      <c r="A22" s="48"/>
      <c r="B22" s="48"/>
      <c r="C22" s="48"/>
      <c r="D22" s="48"/>
      <c r="E22" s="48"/>
      <c r="F22" s="48"/>
      <c r="G22" s="48"/>
      <c r="H22" s="48"/>
      <c r="I22" s="48"/>
    </row>
    <row r="23" spans="1:9">
      <c r="A23" s="78" t="s">
        <v>441</v>
      </c>
      <c r="B23" s="79"/>
      <c r="C23" s="79"/>
      <c r="D23" s="79"/>
      <c r="E23" s="79"/>
      <c r="F23" s="79"/>
      <c r="G23" s="79"/>
      <c r="H23" s="79"/>
      <c r="I23" s="79"/>
    </row>
    <row r="24" spans="1:9">
      <c r="A24" s="78"/>
      <c r="B24" s="79"/>
      <c r="C24" s="79"/>
      <c r="D24" s="79"/>
      <c r="E24" s="79"/>
      <c r="F24" s="79"/>
      <c r="G24" s="79"/>
      <c r="H24" s="79"/>
      <c r="I24" s="79"/>
    </row>
  </sheetData>
  <mergeCells count="1">
    <mergeCell ref="C4:E4"/>
  </mergeCells>
  <hyperlinks>
    <hyperlink ref="A1" location="'T-9 Non-CO2 forest fires'!A1" display="Table T-9: Non-CO2 from forest fires, uncertainty attribution"/>
  </hyperlink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27"/>
  <sheetViews>
    <sheetView workbookViewId="0">
      <selection activeCell="A2" sqref="A2"/>
    </sheetView>
  </sheetViews>
  <sheetFormatPr defaultColWidth="10.81640625" defaultRowHeight="14"/>
  <cols>
    <col min="1" max="1" width="26.36328125" style="46" customWidth="1"/>
    <col min="2" max="2" width="14" style="46" customWidth="1"/>
    <col min="3" max="3" width="13.453125" style="46" customWidth="1"/>
    <col min="4" max="4" width="20.81640625" style="46" customWidth="1"/>
    <col min="5" max="16384" width="10.81640625" style="46"/>
  </cols>
  <sheetData>
    <row r="1" spans="1:4">
      <c r="A1" s="214" t="s">
        <v>580</v>
      </c>
    </row>
    <row r="3" spans="1:4">
      <c r="A3" s="49" t="s">
        <v>453</v>
      </c>
    </row>
    <row r="4" spans="1:4">
      <c r="A4" s="46">
        <f>122.1-84.5</f>
        <v>37.599999999999994</v>
      </c>
    </row>
    <row r="6" spans="1:4" ht="126">
      <c r="A6" s="50" t="s">
        <v>454</v>
      </c>
      <c r="B6" s="50" t="s">
        <v>455</v>
      </c>
      <c r="C6" s="50" t="s">
        <v>456</v>
      </c>
      <c r="D6" s="50" t="s">
        <v>527</v>
      </c>
    </row>
    <row r="7" spans="1:4">
      <c r="A7" s="46" t="s">
        <v>442</v>
      </c>
      <c r="B7" s="46">
        <v>0.18</v>
      </c>
      <c r="C7" s="46">
        <f t="shared" ref="C7:C15" si="0">B7/$B$16</f>
        <v>0.30508474576271183</v>
      </c>
      <c r="D7" s="46">
        <f>ROUND(C7*$A$4,1)</f>
        <v>11.5</v>
      </c>
    </row>
    <row r="8" spans="1:4">
      <c r="A8" s="46" t="s">
        <v>443</v>
      </c>
      <c r="B8" s="46">
        <v>0.06</v>
      </c>
      <c r="C8" s="46">
        <f t="shared" si="0"/>
        <v>0.10169491525423727</v>
      </c>
      <c r="D8" s="46">
        <f t="shared" ref="D8:D15" si="1">ROUND(C8*$A$4,1)</f>
        <v>3.8</v>
      </c>
    </row>
    <row r="9" spans="1:4">
      <c r="A9" s="46" t="s">
        <v>444</v>
      </c>
      <c r="B9" s="46">
        <v>0.17</v>
      </c>
      <c r="C9" s="46">
        <f t="shared" si="0"/>
        <v>0.28813559322033899</v>
      </c>
      <c r="D9" s="46">
        <f t="shared" si="1"/>
        <v>10.8</v>
      </c>
    </row>
    <row r="10" spans="1:4">
      <c r="A10" s="46" t="s">
        <v>445</v>
      </c>
      <c r="B10" s="46">
        <v>0.05</v>
      </c>
      <c r="C10" s="46">
        <f t="shared" si="0"/>
        <v>8.4745762711864403E-2</v>
      </c>
      <c r="D10" s="46">
        <f t="shared" si="1"/>
        <v>3.2</v>
      </c>
    </row>
    <row r="11" spans="1:4">
      <c r="A11" s="46" t="s">
        <v>446</v>
      </c>
      <c r="B11" s="46">
        <v>0.03</v>
      </c>
      <c r="C11" s="46">
        <f t="shared" si="0"/>
        <v>5.0847457627118633E-2</v>
      </c>
      <c r="D11" s="46">
        <f t="shared" si="1"/>
        <v>1.9</v>
      </c>
    </row>
    <row r="12" spans="1:4">
      <c r="A12" s="46" t="s">
        <v>447</v>
      </c>
      <c r="B12" s="46">
        <v>0.02</v>
      </c>
      <c r="C12" s="46">
        <f t="shared" si="0"/>
        <v>3.3898305084745756E-2</v>
      </c>
      <c r="D12" s="46">
        <f t="shared" si="1"/>
        <v>1.3</v>
      </c>
    </row>
    <row r="13" spans="1:4">
      <c r="A13" s="46" t="s">
        <v>448</v>
      </c>
      <c r="B13" s="46">
        <v>0.03</v>
      </c>
      <c r="C13" s="46">
        <f t="shared" si="0"/>
        <v>5.0847457627118633E-2</v>
      </c>
      <c r="D13" s="46">
        <f t="shared" si="1"/>
        <v>1.9</v>
      </c>
    </row>
    <row r="14" spans="1:4">
      <c r="A14" s="46" t="s">
        <v>449</v>
      </c>
      <c r="B14" s="46">
        <v>0.01</v>
      </c>
      <c r="C14" s="46">
        <f t="shared" si="0"/>
        <v>1.6949152542372878E-2</v>
      </c>
      <c r="D14" s="46">
        <f t="shared" si="1"/>
        <v>0.6</v>
      </c>
    </row>
    <row r="15" spans="1:4">
      <c r="A15" s="46" t="s">
        <v>450</v>
      </c>
      <c r="B15" s="46">
        <v>0.04</v>
      </c>
      <c r="C15" s="46">
        <f t="shared" si="0"/>
        <v>6.7796610169491511E-2</v>
      </c>
      <c r="D15" s="46">
        <f t="shared" si="1"/>
        <v>2.5</v>
      </c>
    </row>
    <row r="16" spans="1:4">
      <c r="A16" s="46" t="s">
        <v>15</v>
      </c>
      <c r="B16" s="46">
        <f>SUM(B7:B15)</f>
        <v>0.59000000000000008</v>
      </c>
      <c r="C16" s="46">
        <f>SUM(C7:C15)</f>
        <v>0.99999999999999978</v>
      </c>
      <c r="D16" s="46">
        <f>SUM(D7:D15)</f>
        <v>37.5</v>
      </c>
    </row>
    <row r="19" spans="1:1">
      <c r="A19" s="49" t="s">
        <v>457</v>
      </c>
    </row>
    <row r="20" spans="1:1">
      <c r="A20" s="46" t="s">
        <v>451</v>
      </c>
    </row>
    <row r="21" spans="1:1">
      <c r="A21" s="46" t="s">
        <v>526</v>
      </c>
    </row>
    <row r="22" spans="1:1">
      <c r="A22" s="46" t="s">
        <v>452</v>
      </c>
    </row>
    <row r="24" spans="1:1">
      <c r="A24" s="49" t="s">
        <v>532</v>
      </c>
    </row>
    <row r="25" spans="1:1">
      <c r="A25" s="46" t="s">
        <v>529</v>
      </c>
    </row>
    <row r="26" spans="1:1">
      <c r="A26" s="46" t="s">
        <v>530</v>
      </c>
    </row>
    <row r="27" spans="1:1">
      <c r="A27" s="46" t="s">
        <v>531</v>
      </c>
    </row>
  </sheetData>
  <hyperlinks>
    <hyperlink ref="A1" location="'T-10 HWPs'!A1" display="Table T-10: Harvested wood products carbon stock change, uncertainty attribution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15"/>
  <sheetViews>
    <sheetView zoomScaleNormal="100" zoomScalePageLayoutView="90" workbookViewId="0">
      <selection activeCell="A2" sqref="A2"/>
    </sheetView>
  </sheetViews>
  <sheetFormatPr defaultColWidth="8.81640625" defaultRowHeight="14"/>
  <cols>
    <col min="1" max="1" width="38.453125" style="46" customWidth="1"/>
    <col min="2" max="8" width="15" style="46" customWidth="1"/>
    <col min="9" max="16384" width="8.81640625" style="46"/>
  </cols>
  <sheetData>
    <row r="1" spans="1:10">
      <c r="A1" s="246" t="s">
        <v>581</v>
      </c>
      <c r="B1" s="56"/>
      <c r="C1" s="56"/>
      <c r="D1" s="56"/>
      <c r="E1" s="56"/>
      <c r="F1" s="56"/>
      <c r="G1" s="56"/>
      <c r="H1" s="56"/>
    </row>
    <row r="2" spans="1:10">
      <c r="A2" s="56"/>
      <c r="B2" s="56"/>
      <c r="C2" s="56"/>
      <c r="D2" s="56"/>
      <c r="E2" s="56"/>
      <c r="F2" s="56"/>
      <c r="G2" s="56"/>
      <c r="H2" s="56"/>
    </row>
    <row r="3" spans="1:10">
      <c r="A3" s="56"/>
      <c r="B3" s="57"/>
      <c r="C3" s="57"/>
      <c r="D3" s="57"/>
      <c r="E3" s="57"/>
      <c r="F3" s="57"/>
      <c r="G3" s="57"/>
      <c r="H3" s="57"/>
    </row>
    <row r="4" spans="1:10" ht="42">
      <c r="A4" s="92" t="s">
        <v>118</v>
      </c>
      <c r="B4" s="92" t="s">
        <v>291</v>
      </c>
      <c r="C4" s="93" t="s">
        <v>292</v>
      </c>
      <c r="D4" s="93" t="s">
        <v>293</v>
      </c>
      <c r="E4" s="93" t="s">
        <v>294</v>
      </c>
      <c r="F4" s="93" t="s">
        <v>295</v>
      </c>
      <c r="G4" s="93" t="s">
        <v>262</v>
      </c>
      <c r="H4" s="93" t="s">
        <v>256</v>
      </c>
    </row>
    <row r="5" spans="1:10">
      <c r="A5" s="94" t="s">
        <v>549</v>
      </c>
      <c r="B5" s="95">
        <v>0.3</v>
      </c>
      <c r="C5" s="95">
        <v>0.1</v>
      </c>
      <c r="D5" s="95">
        <v>1.1000000000000001</v>
      </c>
      <c r="E5" s="95">
        <f>B5-C5</f>
        <v>0.19999999999999998</v>
      </c>
      <c r="F5" s="95">
        <f>D5-B5</f>
        <v>0.8</v>
      </c>
      <c r="G5" s="103">
        <f>AVERAGE(E5:F5)/1.96</f>
        <v>0.25510204081632654</v>
      </c>
      <c r="H5" s="103">
        <f>G5^2</f>
        <v>6.5077051228654731E-2</v>
      </c>
    </row>
    <row r="6" spans="1:10">
      <c r="A6" s="94" t="s">
        <v>550</v>
      </c>
      <c r="B6" s="94">
        <v>0.1</v>
      </c>
      <c r="C6" s="94">
        <v>0</v>
      </c>
      <c r="D6" s="94">
        <v>0.4</v>
      </c>
      <c r="E6" s="95">
        <f>B6-C6</f>
        <v>0.1</v>
      </c>
      <c r="F6" s="95">
        <f>D6-B6</f>
        <v>0.30000000000000004</v>
      </c>
      <c r="G6" s="103">
        <f>AVERAGE(E6:F6)/1.96</f>
        <v>0.10204081632653061</v>
      </c>
      <c r="H6" s="103">
        <f>G6^2</f>
        <v>1.0412328196584757E-2</v>
      </c>
    </row>
    <row r="7" spans="1:10">
      <c r="A7" s="94" t="s">
        <v>15</v>
      </c>
      <c r="B7" s="95">
        <f>SUM(B5:B6)</f>
        <v>0.4</v>
      </c>
      <c r="C7" s="95">
        <f>B7-F7</f>
        <v>-0.13851648071345035</v>
      </c>
      <c r="D7" s="95">
        <f>B7+F7</f>
        <v>0.9385164807134504</v>
      </c>
      <c r="E7" s="94"/>
      <c r="F7" s="95">
        <f>G7*1.96</f>
        <v>0.53851648071345037</v>
      </c>
      <c r="G7" s="95">
        <f>H7^0.5</f>
        <v>0.2747533064864543</v>
      </c>
      <c r="H7" s="95">
        <f>SUM(H5:H6)</f>
        <v>7.5489379425239492E-2</v>
      </c>
    </row>
    <row r="8" spans="1:10">
      <c r="A8" s="94"/>
      <c r="B8" s="94"/>
      <c r="C8" s="94"/>
      <c r="D8" s="94"/>
      <c r="E8" s="94"/>
      <c r="F8" s="94"/>
      <c r="G8" s="65"/>
      <c r="H8" s="65"/>
    </row>
    <row r="9" spans="1:10" s="47" customFormat="1" ht="59">
      <c r="A9" s="93" t="s">
        <v>268</v>
      </c>
      <c r="B9" s="93" t="s">
        <v>536</v>
      </c>
      <c r="C9" s="50" t="s">
        <v>548</v>
      </c>
      <c r="D9" s="93" t="s">
        <v>269</v>
      </c>
      <c r="E9" s="93" t="s">
        <v>273</v>
      </c>
      <c r="F9" s="96"/>
      <c r="G9" s="65"/>
      <c r="H9" s="65"/>
      <c r="I9" s="46"/>
      <c r="J9" s="46"/>
    </row>
    <row r="10" spans="1:10">
      <c r="A10" s="97" t="s">
        <v>15</v>
      </c>
      <c r="B10" s="98">
        <f>D7-C7</f>
        <v>1.0770329614269007</v>
      </c>
      <c r="D10" s="100"/>
      <c r="E10" s="101"/>
      <c r="F10" s="65"/>
      <c r="G10" s="57"/>
      <c r="H10" s="57"/>
    </row>
    <row r="11" spans="1:10" ht="17">
      <c r="A11" s="97" t="s">
        <v>537</v>
      </c>
      <c r="B11" s="98">
        <v>0.39999999999999997</v>
      </c>
      <c r="C11" s="211">
        <f>B10-B11</f>
        <v>0.67703296142690084</v>
      </c>
      <c r="D11" s="218">
        <f>C11/C13</f>
        <v>0.89784320031945553</v>
      </c>
      <c r="E11" s="101">
        <f>D11*B10</f>
        <v>0.9670067209370693</v>
      </c>
      <c r="F11" s="65"/>
      <c r="G11" s="57"/>
      <c r="H11" s="57"/>
    </row>
    <row r="12" spans="1:10" ht="17">
      <c r="A12" s="97" t="s">
        <v>538</v>
      </c>
      <c r="B12" s="98">
        <v>1</v>
      </c>
      <c r="C12" s="211">
        <f>B10-B12</f>
        <v>7.7032961426900748E-2</v>
      </c>
      <c r="D12" s="218">
        <f>C12/C13</f>
        <v>0.10215679968054452</v>
      </c>
      <c r="E12" s="101">
        <f>D12*B10</f>
        <v>0.11002624048983153</v>
      </c>
      <c r="F12" s="65"/>
      <c r="G12" s="57"/>
      <c r="H12" s="57"/>
    </row>
    <row r="13" spans="1:10">
      <c r="A13" s="89"/>
      <c r="B13" s="90"/>
      <c r="C13" s="90">
        <f>SUM(C11:C12)</f>
        <v>0.75406592285380158</v>
      </c>
      <c r="D13" s="90">
        <f t="shared" ref="D13:E13" si="0">SUM(D11:D12)</f>
        <v>1</v>
      </c>
      <c r="E13" s="90">
        <f t="shared" si="0"/>
        <v>1.0770329614269007</v>
      </c>
      <c r="F13" s="57"/>
    </row>
    <row r="14" spans="1:10">
      <c r="A14" s="89"/>
      <c r="B14" s="90"/>
      <c r="C14" s="90"/>
      <c r="D14" s="90"/>
      <c r="E14" s="57"/>
      <c r="F14" s="57"/>
    </row>
    <row r="15" spans="1:10">
      <c r="A15" s="89"/>
      <c r="B15" s="90"/>
      <c r="C15" s="90"/>
      <c r="D15" s="90"/>
      <c r="E15" s="57"/>
      <c r="F15" s="57"/>
    </row>
  </sheetData>
  <hyperlinks>
    <hyperlink ref="A1" location="'T-11 N to Forest Soils'!A1" display="Table T-11: N additions to forest soils, uncertainty attribution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18"/>
  <sheetViews>
    <sheetView zoomScale="90" zoomScaleNormal="90" zoomScalePageLayoutView="90" workbookViewId="0">
      <selection activeCell="A2" sqref="A2"/>
    </sheetView>
  </sheetViews>
  <sheetFormatPr defaultColWidth="8.81640625" defaultRowHeight="14"/>
  <cols>
    <col min="1" max="1" width="31.1796875" style="46" customWidth="1"/>
    <col min="2" max="7" width="15" style="46" customWidth="1"/>
    <col min="8" max="8" width="18.81640625" style="46" customWidth="1"/>
    <col min="9" max="9" width="22.81640625" style="46" customWidth="1"/>
    <col min="10" max="16384" width="8.81640625" style="46"/>
  </cols>
  <sheetData>
    <row r="1" spans="1:8">
      <c r="A1" s="247" t="s">
        <v>582</v>
      </c>
      <c r="B1" s="56"/>
      <c r="C1" s="56"/>
      <c r="D1" s="56"/>
      <c r="E1" s="56"/>
      <c r="F1" s="56"/>
      <c r="G1" s="56"/>
      <c r="H1" s="56"/>
    </row>
    <row r="2" spans="1:8">
      <c r="A2" s="56"/>
      <c r="B2" s="56"/>
      <c r="C2" s="56"/>
      <c r="D2" s="56"/>
      <c r="E2" s="56"/>
      <c r="F2" s="56"/>
      <c r="G2" s="56"/>
      <c r="H2" s="56"/>
    </row>
    <row r="3" spans="1:8">
      <c r="A3" s="56"/>
      <c r="B3" s="57"/>
      <c r="C3" s="57"/>
      <c r="D3" s="57"/>
      <c r="E3" s="57"/>
      <c r="F3" s="57"/>
      <c r="G3" s="57"/>
      <c r="H3" s="57"/>
    </row>
    <row r="4" spans="1:8" ht="42">
      <c r="A4" s="91" t="s">
        <v>118</v>
      </c>
      <c r="B4" s="92" t="s">
        <v>291</v>
      </c>
      <c r="C4" s="93" t="s">
        <v>292</v>
      </c>
      <c r="D4" s="93" t="s">
        <v>293</v>
      </c>
      <c r="E4" s="93" t="s">
        <v>294</v>
      </c>
      <c r="F4" s="93" t="s">
        <v>295</v>
      </c>
      <c r="G4" s="93" t="s">
        <v>262</v>
      </c>
      <c r="H4" s="93" t="s">
        <v>256</v>
      </c>
    </row>
    <row r="5" spans="1:8">
      <c r="A5" s="94" t="s">
        <v>263</v>
      </c>
      <c r="B5" s="95">
        <v>0.7</v>
      </c>
      <c r="C5" s="95">
        <v>0.4</v>
      </c>
      <c r="D5" s="95">
        <v>0.9</v>
      </c>
      <c r="E5" s="95">
        <f>B5-C5</f>
        <v>0.29999999999999993</v>
      </c>
      <c r="F5" s="95">
        <f>D5-B5</f>
        <v>0.20000000000000007</v>
      </c>
      <c r="G5" s="95">
        <f>AVERAGE(E5:F5)/1.96</f>
        <v>0.12755102040816327</v>
      </c>
      <c r="H5" s="102">
        <f>G5^2</f>
        <v>1.6269262807163683E-2</v>
      </c>
    </row>
    <row r="6" spans="1:8">
      <c r="A6" s="46" t="s">
        <v>264</v>
      </c>
      <c r="B6" s="88">
        <v>0.1</v>
      </c>
      <c r="C6" s="88">
        <v>0</v>
      </c>
      <c r="D6" s="88">
        <v>0.1</v>
      </c>
      <c r="E6" s="95">
        <f t="shared" ref="E6:E8" si="0">B6-C6</f>
        <v>0.1</v>
      </c>
      <c r="F6" s="95">
        <f t="shared" ref="F6:F8" si="1">D6-B6</f>
        <v>0</v>
      </c>
      <c r="G6" s="95">
        <f t="shared" ref="G6:G8" si="2">AVERAGE(E6:F6)/1.96</f>
        <v>2.5510204081632654E-2</v>
      </c>
      <c r="H6" s="102">
        <f t="shared" ref="H6:H8" si="3">G6^2</f>
        <v>6.5077051228654734E-4</v>
      </c>
    </row>
    <row r="7" spans="1:8">
      <c r="A7" s="46" t="s">
        <v>265</v>
      </c>
      <c r="B7" s="88">
        <v>0</v>
      </c>
      <c r="C7" s="88">
        <v>0</v>
      </c>
      <c r="D7" s="88">
        <v>0</v>
      </c>
      <c r="E7" s="95">
        <f t="shared" si="0"/>
        <v>0</v>
      </c>
      <c r="F7" s="95">
        <f t="shared" si="1"/>
        <v>0</v>
      </c>
      <c r="G7" s="95">
        <f t="shared" si="2"/>
        <v>0</v>
      </c>
      <c r="H7" s="102">
        <f t="shared" si="3"/>
        <v>0</v>
      </c>
    </row>
    <row r="8" spans="1:8">
      <c r="A8" s="46" t="s">
        <v>266</v>
      </c>
      <c r="B8" s="88">
        <v>0.1</v>
      </c>
      <c r="C8" s="88">
        <v>0</v>
      </c>
      <c r="D8" s="88">
        <v>0.2</v>
      </c>
      <c r="E8" s="95">
        <f t="shared" si="0"/>
        <v>0.1</v>
      </c>
      <c r="F8" s="95">
        <f t="shared" si="1"/>
        <v>0.1</v>
      </c>
      <c r="G8" s="95">
        <f t="shared" si="2"/>
        <v>5.1020408163265307E-2</v>
      </c>
      <c r="H8" s="102">
        <f t="shared" si="3"/>
        <v>2.6030820491461893E-3</v>
      </c>
    </row>
    <row r="9" spans="1:8">
      <c r="A9" s="46" t="s">
        <v>267</v>
      </c>
      <c r="B9" s="88">
        <f>SUM(B5:B8)</f>
        <v>0.89999999999999991</v>
      </c>
      <c r="C9" s="88">
        <v>0.5</v>
      </c>
      <c r="D9" s="88">
        <v>1.2</v>
      </c>
      <c r="E9" s="95"/>
      <c r="F9" s="95">
        <f>G9*1.96</f>
        <v>0.27386127875258304</v>
      </c>
      <c r="G9" s="95">
        <f>H9^0.5</f>
        <v>0.13972514222070564</v>
      </c>
      <c r="H9" s="102">
        <f>SUM(H5:H8)</f>
        <v>1.9523115368596421E-2</v>
      </c>
    </row>
    <row r="10" spans="1:8">
      <c r="A10" s="57"/>
      <c r="B10" s="57"/>
      <c r="C10" s="219">
        <f>B9-F9</f>
        <v>0.62613872124741687</v>
      </c>
      <c r="D10" s="219">
        <f>B9+F9</f>
        <v>1.1738612787525828</v>
      </c>
      <c r="E10" s="57"/>
      <c r="F10" s="57"/>
      <c r="G10" s="57"/>
      <c r="H10" s="57"/>
    </row>
    <row r="11" spans="1:8" ht="56.5">
      <c r="A11" s="93" t="s">
        <v>268</v>
      </c>
      <c r="B11" s="93" t="s">
        <v>533</v>
      </c>
      <c r="C11" s="50" t="s">
        <v>548</v>
      </c>
      <c r="D11" s="93" t="s">
        <v>269</v>
      </c>
      <c r="E11" s="93" t="s">
        <v>270</v>
      </c>
      <c r="F11" s="57"/>
      <c r="G11" s="57"/>
      <c r="H11" s="57"/>
    </row>
    <row r="12" spans="1:8">
      <c r="A12" s="97" t="s">
        <v>15</v>
      </c>
      <c r="B12" s="98">
        <f>D10-C10</f>
        <v>0.54772255750516596</v>
      </c>
      <c r="D12" s="98"/>
      <c r="E12" s="98"/>
      <c r="F12" s="57"/>
      <c r="G12" s="57"/>
      <c r="H12" s="57"/>
    </row>
    <row r="13" spans="1:8">
      <c r="A13" s="89" t="s">
        <v>271</v>
      </c>
      <c r="B13" s="90">
        <v>0.22279999999999989</v>
      </c>
      <c r="C13" s="211">
        <f>B12-B13</f>
        <v>0.32492255750516608</v>
      </c>
      <c r="D13" s="90">
        <f>C13/C17</f>
        <v>0.87729729568006443</v>
      </c>
      <c r="E13" s="90">
        <f>D13*$B$12</f>
        <v>0.48051551848225066</v>
      </c>
      <c r="F13" s="57"/>
      <c r="G13" s="57"/>
      <c r="H13" s="57"/>
    </row>
    <row r="14" spans="1:8">
      <c r="A14" s="89" t="s">
        <v>272</v>
      </c>
      <c r="B14" s="90">
        <v>0.54</v>
      </c>
      <c r="C14" s="211">
        <f>B12-B14</f>
        <v>7.7225575051659279E-3</v>
      </c>
      <c r="D14" s="90">
        <f>C14/C17</f>
        <v>2.0851057147388528E-2</v>
      </c>
      <c r="E14" s="90">
        <f t="shared" ref="E14:E16" si="4">D14*$B$12</f>
        <v>1.1420594347454014E-2</v>
      </c>
      <c r="F14" s="57"/>
      <c r="G14" s="57"/>
      <c r="H14" s="57"/>
    </row>
    <row r="15" spans="1:8">
      <c r="A15" s="89" t="s">
        <v>265</v>
      </c>
      <c r="B15" s="90">
        <v>0.5477225575051663</v>
      </c>
      <c r="C15" s="211">
        <f>B12-B15</f>
        <v>0</v>
      </c>
      <c r="D15" s="90">
        <f>C15/C17</f>
        <v>0</v>
      </c>
      <c r="E15" s="90">
        <f t="shared" si="4"/>
        <v>0</v>
      </c>
      <c r="F15" s="57"/>
      <c r="G15" s="57"/>
      <c r="H15" s="57"/>
    </row>
    <row r="16" spans="1:8">
      <c r="A16" s="89" t="s">
        <v>266</v>
      </c>
      <c r="B16" s="90">
        <v>0.51</v>
      </c>
      <c r="C16" s="211">
        <f>B12-B16</f>
        <v>3.7722557505165955E-2</v>
      </c>
      <c r="D16" s="90">
        <f>C16/C17</f>
        <v>0.10185164717254706</v>
      </c>
      <c r="E16" s="90">
        <f t="shared" si="4"/>
        <v>5.5786444675461282E-2</v>
      </c>
      <c r="F16" s="57"/>
      <c r="G16" s="57"/>
      <c r="H16" s="57"/>
    </row>
    <row r="17" spans="3:5">
      <c r="C17" s="211">
        <f>SUM(C13:C16)</f>
        <v>0.37036767251549796</v>
      </c>
      <c r="D17" s="211">
        <f t="shared" ref="D17:E17" si="5">SUM(D13:D16)</f>
        <v>1</v>
      </c>
      <c r="E17" s="211">
        <f t="shared" si="5"/>
        <v>0.54772255750516596</v>
      </c>
    </row>
    <row r="18" spans="3:5">
      <c r="E18" s="57"/>
    </row>
  </sheetData>
  <hyperlinks>
    <hyperlink ref="A1" location="'T-12 Drained Organic Forest'!A1" display="Table T-12: Drained organic forest soils, uncertainty attribution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H35"/>
  <sheetViews>
    <sheetView zoomScaleNormal="100" zoomScalePageLayoutView="90" workbookViewId="0">
      <selection activeCell="A4" sqref="A4"/>
    </sheetView>
  </sheetViews>
  <sheetFormatPr defaultColWidth="8.81640625" defaultRowHeight="14"/>
  <cols>
    <col min="1" max="1" width="41.1796875" style="46" customWidth="1"/>
    <col min="2" max="2" width="26.36328125" style="46" customWidth="1"/>
    <col min="3" max="3" width="15.453125" style="46" customWidth="1"/>
    <col min="4" max="4" width="20.1796875" style="46" customWidth="1"/>
    <col min="5" max="16384" width="8.81640625" style="46"/>
  </cols>
  <sheetData>
    <row r="1" spans="1:8">
      <c r="A1" s="234" t="s">
        <v>590</v>
      </c>
      <c r="B1" s="56"/>
      <c r="C1" s="56"/>
      <c r="D1" s="56"/>
      <c r="E1" s="56"/>
      <c r="F1" s="56"/>
      <c r="H1" s="56"/>
    </row>
    <row r="2" spans="1:8">
      <c r="A2" s="86"/>
      <c r="B2" s="56"/>
      <c r="C2" s="56"/>
      <c r="D2" s="56"/>
      <c r="E2" s="56"/>
      <c r="F2" s="56"/>
      <c r="G2" s="56" t="s">
        <v>551</v>
      </c>
      <c r="H2" s="56"/>
    </row>
    <row r="3" spans="1:8" ht="14.5" thickBot="1">
      <c r="A3" s="112" t="s">
        <v>280</v>
      </c>
      <c r="B3" s="56"/>
      <c r="C3" s="56"/>
      <c r="D3" s="56"/>
      <c r="E3" s="56"/>
      <c r="F3" s="56"/>
      <c r="G3" s="57">
        <f>350.4-171.4</f>
        <v>178.99999999999997</v>
      </c>
      <c r="H3" s="56"/>
    </row>
    <row r="5" spans="1:8" ht="42">
      <c r="A5" s="93" t="s">
        <v>281</v>
      </c>
      <c r="B5" s="93" t="s">
        <v>539</v>
      </c>
      <c r="C5" s="93" t="s">
        <v>540</v>
      </c>
      <c r="D5" s="93" t="s">
        <v>273</v>
      </c>
    </row>
    <row r="6" spans="1:8">
      <c r="A6" s="94" t="s">
        <v>147</v>
      </c>
      <c r="B6" s="108">
        <v>0.17</v>
      </c>
      <c r="C6" s="108">
        <f>B6/$B$17</f>
        <v>0.14321819713563608</v>
      </c>
      <c r="D6" s="109">
        <f>C6*$G$3</f>
        <v>25.636057287278852</v>
      </c>
    </row>
    <row r="7" spans="1:8">
      <c r="A7" s="46" t="s">
        <v>148</v>
      </c>
      <c r="B7" s="104">
        <v>0.16</v>
      </c>
      <c r="C7" s="104">
        <f t="shared" ref="C7:C16" si="0">B7/$B$17</f>
        <v>0.13479359730412807</v>
      </c>
      <c r="D7" s="109">
        <f t="shared" ref="D7:D16" si="1">C7*$G$3</f>
        <v>24.128053917438923</v>
      </c>
    </row>
    <row r="8" spans="1:8">
      <c r="A8" s="46" t="s">
        <v>149</v>
      </c>
      <c r="B8" s="104">
        <v>0.155</v>
      </c>
      <c r="C8" s="104">
        <f t="shared" si="0"/>
        <v>0.13058129738837407</v>
      </c>
      <c r="D8" s="109">
        <f t="shared" si="1"/>
        <v>23.374052232518956</v>
      </c>
    </row>
    <row r="9" spans="1:8">
      <c r="A9" s="46" t="s">
        <v>150</v>
      </c>
      <c r="B9" s="104">
        <v>0.155</v>
      </c>
      <c r="C9" s="104">
        <f t="shared" si="0"/>
        <v>0.13058129738837407</v>
      </c>
      <c r="D9" s="109">
        <f t="shared" si="1"/>
        <v>23.374052232518956</v>
      </c>
    </row>
    <row r="10" spans="1:8">
      <c r="A10" s="46" t="s">
        <v>151</v>
      </c>
      <c r="B10" s="104">
        <v>0.14499999999999999</v>
      </c>
      <c r="C10" s="104">
        <f t="shared" si="0"/>
        <v>0.12215669755686606</v>
      </c>
      <c r="D10" s="109">
        <f t="shared" si="1"/>
        <v>21.866048862679023</v>
      </c>
    </row>
    <row r="11" spans="1:8">
      <c r="A11" s="46" t="s">
        <v>152</v>
      </c>
      <c r="B11" s="104">
        <v>0.104</v>
      </c>
      <c r="C11" s="104">
        <f t="shared" si="0"/>
        <v>8.7615838247683236E-2</v>
      </c>
      <c r="D11" s="109">
        <f t="shared" si="1"/>
        <v>15.683235046335296</v>
      </c>
    </row>
    <row r="12" spans="1:8">
      <c r="A12" s="46" t="s">
        <v>153</v>
      </c>
      <c r="B12" s="104">
        <v>9.5000000000000001E-2</v>
      </c>
      <c r="C12" s="104">
        <f t="shared" si="0"/>
        <v>8.0033698399326045E-2</v>
      </c>
      <c r="D12" s="109">
        <f t="shared" si="1"/>
        <v>14.32603201347936</v>
      </c>
    </row>
    <row r="13" spans="1:8">
      <c r="A13" s="46" t="s">
        <v>158</v>
      </c>
      <c r="B13" s="104">
        <v>7.6999999999999999E-2</v>
      </c>
      <c r="C13" s="104">
        <f t="shared" si="0"/>
        <v>6.4869418702611634E-2</v>
      </c>
      <c r="D13" s="109">
        <f t="shared" si="1"/>
        <v>11.611625947767481</v>
      </c>
    </row>
    <row r="14" spans="1:8">
      <c r="A14" s="46" t="s">
        <v>161</v>
      </c>
      <c r="B14" s="104">
        <v>5.8999999999999997E-2</v>
      </c>
      <c r="C14" s="104">
        <f t="shared" si="0"/>
        <v>4.9705139005897223E-2</v>
      </c>
      <c r="D14" s="109">
        <f t="shared" si="1"/>
        <v>8.8972198820556017</v>
      </c>
    </row>
    <row r="15" spans="1:8">
      <c r="A15" s="46" t="s">
        <v>163</v>
      </c>
      <c r="B15" s="104">
        <v>4.7E-2</v>
      </c>
      <c r="C15" s="104">
        <f t="shared" si="0"/>
        <v>3.9595619208087622E-2</v>
      </c>
      <c r="D15" s="109">
        <f t="shared" si="1"/>
        <v>7.0876158382476833</v>
      </c>
    </row>
    <row r="16" spans="1:8">
      <c r="A16" s="94" t="s">
        <v>164</v>
      </c>
      <c r="B16" s="108">
        <v>0.02</v>
      </c>
      <c r="C16" s="108">
        <f t="shared" si="0"/>
        <v>1.6849199663016009E-2</v>
      </c>
      <c r="D16" s="109">
        <f t="shared" si="1"/>
        <v>3.0160067396798653</v>
      </c>
      <c r="E16" s="94"/>
    </row>
    <row r="17" spans="1:8">
      <c r="A17" s="110" t="s">
        <v>282</v>
      </c>
      <c r="B17" s="110">
        <f>SUM(B6:B16)</f>
        <v>1.1869999999999998</v>
      </c>
      <c r="C17" s="111">
        <f>SUM(C6:C16)</f>
        <v>1.0000000000000002</v>
      </c>
      <c r="D17" s="111">
        <f>SUM(D6:D16)</f>
        <v>178.99999999999997</v>
      </c>
      <c r="E17" s="94"/>
    </row>
    <row r="18" spans="1:8">
      <c r="A18" s="94"/>
      <c r="B18" s="94"/>
      <c r="C18" s="95"/>
      <c r="D18" s="95"/>
      <c r="E18" s="94"/>
    </row>
    <row r="19" spans="1:8">
      <c r="B19" s="60"/>
      <c r="C19" s="60"/>
      <c r="D19" s="60"/>
      <c r="E19" s="60"/>
      <c r="F19" s="56"/>
      <c r="G19" s="56"/>
      <c r="H19" s="56"/>
    </row>
    <row r="20" spans="1:8" ht="14.5" thickBot="1">
      <c r="A20" s="112" t="s">
        <v>283</v>
      </c>
      <c r="B20" s="56"/>
      <c r="C20" s="56"/>
      <c r="D20" s="56"/>
      <c r="E20" s="56"/>
      <c r="F20" s="56"/>
      <c r="G20" s="56"/>
      <c r="H20" s="56"/>
    </row>
    <row r="21" spans="1:8">
      <c r="A21" s="94"/>
      <c r="B21" s="94"/>
      <c r="C21" s="95"/>
      <c r="D21" s="95"/>
    </row>
    <row r="22" spans="1:8" ht="42">
      <c r="A22" s="93" t="s">
        <v>281</v>
      </c>
      <c r="B22" s="93" t="s">
        <v>539</v>
      </c>
      <c r="C22" s="93" t="s">
        <v>273</v>
      </c>
      <c r="D22" s="113"/>
    </row>
    <row r="23" spans="1:8">
      <c r="A23" s="94" t="s">
        <v>145</v>
      </c>
      <c r="B23" s="108">
        <v>0.17499999999999999</v>
      </c>
      <c r="C23" s="95">
        <f>B23*$G$3</f>
        <v>31.324999999999992</v>
      </c>
      <c r="D23" s="94"/>
    </row>
    <row r="24" spans="1:8">
      <c r="A24" s="46" t="s">
        <v>146</v>
      </c>
      <c r="B24" s="104">
        <v>0.16</v>
      </c>
      <c r="C24" s="95">
        <f t="shared" ref="C24:C34" si="2">B24*$G$3</f>
        <v>28.639999999999997</v>
      </c>
    </row>
    <row r="25" spans="1:8">
      <c r="A25" s="46" t="s">
        <v>284</v>
      </c>
      <c r="B25" s="104">
        <v>8.5000000000000006E-2</v>
      </c>
      <c r="C25" s="95">
        <f t="shared" si="2"/>
        <v>15.214999999999998</v>
      </c>
    </row>
    <row r="26" spans="1:8">
      <c r="A26" s="46" t="s">
        <v>154</v>
      </c>
      <c r="B26" s="104">
        <v>0.08</v>
      </c>
      <c r="C26" s="95">
        <f t="shared" si="2"/>
        <v>14.319999999999999</v>
      </c>
    </row>
    <row r="27" spans="1:8">
      <c r="A27" s="46" t="s">
        <v>155</v>
      </c>
      <c r="B27" s="104">
        <v>7.3999999999999996E-2</v>
      </c>
      <c r="C27" s="95">
        <f t="shared" si="2"/>
        <v>13.245999999999997</v>
      </c>
    </row>
    <row r="28" spans="1:8">
      <c r="A28" s="46" t="s">
        <v>156</v>
      </c>
      <c r="B28" s="104">
        <v>6.5000000000000002E-2</v>
      </c>
      <c r="C28" s="95">
        <f t="shared" si="2"/>
        <v>11.634999999999998</v>
      </c>
    </row>
    <row r="29" spans="1:8">
      <c r="A29" s="46" t="s">
        <v>157</v>
      </c>
      <c r="B29" s="104">
        <v>6.5000000000000002E-2</v>
      </c>
      <c r="C29" s="95">
        <f t="shared" si="2"/>
        <v>11.634999999999998</v>
      </c>
    </row>
    <row r="30" spans="1:8">
      <c r="A30" s="46" t="s">
        <v>285</v>
      </c>
      <c r="B30" s="104">
        <v>6.25E-2</v>
      </c>
      <c r="C30" s="95">
        <f t="shared" si="2"/>
        <v>11.187499999999998</v>
      </c>
    </row>
    <row r="31" spans="1:8">
      <c r="A31" s="46" t="s">
        <v>162</v>
      </c>
      <c r="B31" s="104">
        <v>4.7E-2</v>
      </c>
      <c r="C31" s="95">
        <f t="shared" si="2"/>
        <v>8.4129999999999985</v>
      </c>
    </row>
    <row r="32" spans="1:8">
      <c r="A32" s="46" t="s">
        <v>159</v>
      </c>
      <c r="B32" s="104">
        <v>5.7500000000000002E-2</v>
      </c>
      <c r="C32" s="95">
        <f t="shared" si="2"/>
        <v>10.292499999999999</v>
      </c>
    </row>
    <row r="33" spans="1:3">
      <c r="A33" s="46" t="s">
        <v>160</v>
      </c>
      <c r="B33" s="104">
        <v>5.3999999999999999E-2</v>
      </c>
      <c r="C33" s="95">
        <f t="shared" si="2"/>
        <v>9.6659999999999986</v>
      </c>
    </row>
    <row r="34" spans="1:3">
      <c r="A34" s="46" t="s">
        <v>286</v>
      </c>
      <c r="B34" s="104">
        <v>2.7E-2</v>
      </c>
      <c r="C34" s="95">
        <f t="shared" si="2"/>
        <v>4.8329999999999993</v>
      </c>
    </row>
    <row r="35" spans="1:3">
      <c r="A35" s="221" t="s">
        <v>282</v>
      </c>
      <c r="B35" s="221"/>
      <c r="C35" s="222">
        <f>SUM(C23:C34)</f>
        <v>170.40799999999996</v>
      </c>
    </row>
  </sheetData>
  <hyperlinks>
    <hyperlink ref="A1" location="'T-14 15 Tier 3 Soils'!A1" display="Table T-14: Tier 3 cropland and grassland soils, uncertainty attribution"/>
  </hyperlink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Title Sheet</vt:lpstr>
      <vt:lpstr>T-2 Forest biomass and deadwood</vt:lpstr>
      <vt:lpstr>Forest litter</vt:lpstr>
      <vt:lpstr>Forest soil</vt:lpstr>
      <vt:lpstr>T-9 Non-CO2 forest fires</vt:lpstr>
      <vt:lpstr>T-10 HWPs</vt:lpstr>
      <vt:lpstr>T-11 N to Forest Soils</vt:lpstr>
      <vt:lpstr>T-12 Drained Organic Forest</vt:lpstr>
      <vt:lpstr>T-14 15 Tier 3 Soils</vt:lpstr>
      <vt:lpstr>T-19 C-G Tier 1-2</vt:lpstr>
      <vt:lpstr>T-21 Grassland fires</vt:lpstr>
      <vt:lpstr>T-22 C-G Drained Organic</vt:lpstr>
      <vt:lpstr>T-25 Agroforestry</vt:lpstr>
      <vt:lpstr>T-27 Non-CO2 woody biomass</vt:lpstr>
      <vt:lpstr>Federal Lands</vt:lpstr>
      <vt:lpstr>T-28 Methane Sinks</vt:lpstr>
      <vt:lpstr>T-31 Urban Trees</vt:lpstr>
      <vt:lpstr>T-34 YT &amp; FS</vt:lpstr>
      <vt:lpstr>T-35 N Settlement Soils</vt:lpstr>
      <vt:lpstr>T-36 Drained Organic Set</vt:lpstr>
      <vt:lpstr>Urban Mineral Soils</vt:lpstr>
      <vt:lpstr>T-39 Coastal wetlands</vt:lpstr>
      <vt:lpstr>T-42 Alaska</vt:lpstr>
      <vt:lpstr>T-43 Hawaii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Berger</dc:creator>
  <cp:lastModifiedBy>Emily McGlynn</cp:lastModifiedBy>
  <dcterms:created xsi:type="dcterms:W3CDTF">2019-04-04T18:23:33Z</dcterms:created>
  <dcterms:modified xsi:type="dcterms:W3CDTF">2019-09-13T18:07:22Z</dcterms:modified>
</cp:coreProperties>
</file>